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garize\Desktop\SOD\Chapter 10\Chapter 10- 27 June version\"/>
    </mc:Choice>
  </mc:AlternateContent>
  <xr:revisionPtr revIDLastSave="0" documentId="11_6356BFC4D832BE0D073883AAD3080A3A716D0499" xr6:coauthVersionLast="38" xr6:coauthVersionMax="38" xr10:uidLastSave="{00000000-0000-0000-0000-000000000000}"/>
  <bookViews>
    <workbookView xWindow="0" yWindow="0" windowWidth="23040" windowHeight="7932" xr2:uid="{00000000-000D-0000-FFFF-FFFF00000000}"/>
  </bookViews>
  <sheets>
    <sheet name="MCF Model" sheetId="1" r:id="rId1"/>
  </sheets>
  <definedNames>
    <definedName name="B0">'MCF Model'!$I$17</definedName>
    <definedName name="CH4_DENSITY">'MCF Model'!$I$21</definedName>
    <definedName name="EMPTY_EFFICIENCY">'MCF Model'!$I$20</definedName>
    <definedName name="Emptying">'MCF Model'!$I$35:$I$70</definedName>
    <definedName name="f">'MCF Model'!$F$35:$F$70</definedName>
    <definedName name="f_Ea">'MCF Model'!$I$13</definedName>
    <definedName name="f_R">'MCF Model'!$I$14</definedName>
    <definedName name="f_T1">'MCF Model'!$I$11</definedName>
    <definedName name="f_T2damping">'MCF Model'!$I$16</definedName>
    <definedName name="f_Tmin">'MCF Model'!$I$15</definedName>
    <definedName name="ManureRemoved">'MCF Model'!$F$9:$F$20</definedName>
    <definedName name="ManureTemperature">'MCF Model'!$E$9:$E$20</definedName>
    <definedName name="Month">'MCF Model'!$C$35:$C$70</definedName>
    <definedName name="months">'MCF Model'!$C$9:$C$20</definedName>
    <definedName name="Tav_C">'MCF Model'!$D$35:$D$70</definedName>
    <definedName name="Tav_K">'MCF Model'!$E$35:$E$70</definedName>
    <definedName name="VS_PCT_LIQUID">'MCF Model'!$I$8</definedName>
    <definedName name="VS_PROD_YR">'MCF Model'!$I$7</definedName>
    <definedName name="VSavailable">'MCF Model'!$K$35:$K$70</definedName>
    <definedName name="VSconsumed">'MCF Model'!$L$35:$L$70</definedName>
    <definedName name="VSemptied">'MCF Model'!$J$35:$J$70</definedName>
    <definedName name="VSexcreted">'MCF Model'!$G$35:$G$70</definedName>
    <definedName name="VSload">'MCF Model'!$H$35:$H$70</definedName>
  </definedNames>
  <calcPr calcId="179020"/>
</workbook>
</file>

<file path=xl/calcChain.xml><?xml version="1.0" encoding="utf-8"?>
<calcChain xmlns="http://schemas.openxmlformats.org/spreadsheetml/2006/main">
  <c r="C47" i="1" l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I59" i="1" a="1"/>
  <c r="I70" i="1"/>
  <c r="J70" i="1"/>
  <c r="I47" i="1" a="1"/>
  <c r="I58" i="1"/>
  <c r="J58" i="1"/>
  <c r="I35" i="1" a="1"/>
  <c r="I35" i="1"/>
  <c r="I59" i="1"/>
  <c r="J59" i="1"/>
  <c r="I63" i="1"/>
  <c r="I67" i="1"/>
  <c r="J67" i="1"/>
  <c r="I60" i="1"/>
  <c r="J60" i="1"/>
  <c r="I64" i="1"/>
  <c r="J64" i="1"/>
  <c r="I68" i="1"/>
  <c r="J68" i="1"/>
  <c r="I61" i="1"/>
  <c r="J61" i="1"/>
  <c r="I65" i="1"/>
  <c r="J65" i="1"/>
  <c r="I69" i="1"/>
  <c r="I62" i="1"/>
  <c r="J62" i="1"/>
  <c r="I66" i="1"/>
  <c r="J66" i="1"/>
  <c r="I47" i="1"/>
  <c r="J47" i="1"/>
  <c r="I51" i="1"/>
  <c r="I55" i="1"/>
  <c r="J55" i="1"/>
  <c r="I48" i="1"/>
  <c r="J48" i="1"/>
  <c r="I52" i="1"/>
  <c r="J52" i="1"/>
  <c r="I56" i="1"/>
  <c r="J56" i="1"/>
  <c r="I49" i="1"/>
  <c r="J49" i="1"/>
  <c r="I53" i="1"/>
  <c r="J53" i="1"/>
  <c r="I57" i="1"/>
  <c r="I50" i="1"/>
  <c r="J50" i="1"/>
  <c r="I54" i="1"/>
  <c r="J54" i="1"/>
  <c r="I46" i="1"/>
  <c r="J46" i="1"/>
  <c r="I42" i="1"/>
  <c r="J42" i="1"/>
  <c r="I38" i="1"/>
  <c r="J38" i="1"/>
  <c r="I45" i="1"/>
  <c r="I41" i="1"/>
  <c r="J41" i="1"/>
  <c r="I37" i="1"/>
  <c r="J37" i="1"/>
  <c r="I44" i="1"/>
  <c r="J44" i="1"/>
  <c r="I40" i="1"/>
  <c r="J40" i="1"/>
  <c r="I36" i="1"/>
  <c r="J36" i="1"/>
  <c r="I43" i="1"/>
  <c r="J43" i="1"/>
  <c r="I39" i="1"/>
  <c r="F21" i="1"/>
  <c r="E11" i="1"/>
  <c r="E13" i="1"/>
  <c r="E19" i="1"/>
  <c r="E18" i="1"/>
  <c r="E14" i="1"/>
  <c r="E10" i="1"/>
  <c r="E17" i="1"/>
  <c r="E20" i="1"/>
  <c r="E16" i="1"/>
  <c r="E12" i="1"/>
  <c r="E15" i="1"/>
  <c r="E9" i="1"/>
  <c r="D35" i="1" a="1"/>
  <c r="D47" i="1" a="1"/>
  <c r="D59" i="1" a="1"/>
  <c r="E21" i="1"/>
  <c r="D70" i="1"/>
  <c r="D67" i="1"/>
  <c r="D63" i="1"/>
  <c r="D62" i="1"/>
  <c r="D60" i="1"/>
  <c r="D61" i="1"/>
  <c r="D66" i="1"/>
  <c r="D64" i="1"/>
  <c r="D65" i="1"/>
  <c r="D59" i="1"/>
  <c r="D68" i="1"/>
  <c r="D69" i="1"/>
  <c r="D58" i="1"/>
  <c r="D48" i="1"/>
  <c r="D49" i="1"/>
  <c r="D54" i="1"/>
  <c r="D52" i="1"/>
  <c r="D53" i="1"/>
  <c r="D47" i="1"/>
  <c r="D56" i="1"/>
  <c r="D57" i="1"/>
  <c r="D55" i="1"/>
  <c r="D51" i="1"/>
  <c r="D50" i="1"/>
  <c r="D35" i="1"/>
  <c r="E35" i="1"/>
  <c r="D44" i="1"/>
  <c r="D42" i="1"/>
  <c r="D45" i="1"/>
  <c r="D40" i="1"/>
  <c r="D38" i="1"/>
  <c r="D41" i="1"/>
  <c r="D36" i="1"/>
  <c r="D43" i="1"/>
  <c r="D37" i="1"/>
  <c r="D46" i="1"/>
  <c r="D39" i="1"/>
  <c r="G70" i="1"/>
  <c r="H70" i="1"/>
  <c r="G69" i="1"/>
  <c r="H69" i="1"/>
  <c r="G68" i="1"/>
  <c r="H68" i="1"/>
  <c r="G67" i="1"/>
  <c r="H67" i="1"/>
  <c r="G66" i="1"/>
  <c r="H66" i="1"/>
  <c r="G65" i="1"/>
  <c r="H65" i="1"/>
  <c r="G64" i="1"/>
  <c r="H64" i="1"/>
  <c r="G63" i="1"/>
  <c r="H63" i="1"/>
  <c r="G62" i="1"/>
  <c r="H62" i="1"/>
  <c r="G61" i="1"/>
  <c r="H61" i="1"/>
  <c r="G60" i="1"/>
  <c r="H60" i="1"/>
  <c r="G59" i="1"/>
  <c r="H59" i="1"/>
  <c r="G58" i="1"/>
  <c r="H58" i="1"/>
  <c r="G57" i="1"/>
  <c r="H57" i="1"/>
  <c r="G56" i="1"/>
  <c r="H56" i="1"/>
  <c r="G55" i="1"/>
  <c r="H55" i="1"/>
  <c r="G54" i="1"/>
  <c r="H54" i="1"/>
  <c r="G53" i="1"/>
  <c r="H53" i="1"/>
  <c r="G52" i="1"/>
  <c r="H52" i="1"/>
  <c r="G51" i="1"/>
  <c r="H51" i="1"/>
  <c r="G50" i="1"/>
  <c r="H50" i="1"/>
  <c r="G49" i="1"/>
  <c r="H49" i="1"/>
  <c r="G48" i="1"/>
  <c r="H48" i="1"/>
  <c r="G47" i="1"/>
  <c r="H47" i="1"/>
  <c r="G46" i="1"/>
  <c r="H46" i="1"/>
  <c r="G45" i="1"/>
  <c r="H45" i="1"/>
  <c r="G44" i="1"/>
  <c r="H44" i="1"/>
  <c r="G43" i="1"/>
  <c r="H43" i="1"/>
  <c r="G42" i="1"/>
  <c r="H42" i="1"/>
  <c r="G41" i="1"/>
  <c r="H41" i="1"/>
  <c r="G40" i="1"/>
  <c r="H40" i="1"/>
  <c r="G39" i="1"/>
  <c r="H39" i="1"/>
  <c r="G38" i="1"/>
  <c r="H38" i="1"/>
  <c r="G37" i="1"/>
  <c r="H37" i="1"/>
  <c r="G36" i="1"/>
  <c r="H36" i="1"/>
  <c r="G35" i="1"/>
  <c r="H35" i="1"/>
  <c r="G72" i="1"/>
  <c r="G74" i="1"/>
  <c r="E26" i="1"/>
  <c r="K35" i="1"/>
  <c r="H74" i="1"/>
  <c r="E27" i="1"/>
  <c r="H73" i="1"/>
  <c r="G73" i="1"/>
  <c r="H72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F35" i="1"/>
  <c r="E28" i="1"/>
  <c r="K27" i="1"/>
  <c r="D21" i="1"/>
  <c r="L35" i="1"/>
  <c r="M35" i="1"/>
  <c r="K36" i="1"/>
  <c r="L36" i="1"/>
  <c r="K37" i="1"/>
  <c r="L37" i="1"/>
  <c r="M36" i="1"/>
  <c r="K38" i="1"/>
  <c r="M37" i="1"/>
  <c r="L38" i="1"/>
  <c r="M38" i="1"/>
  <c r="J39" i="1"/>
  <c r="K39" i="1"/>
  <c r="L39" i="1"/>
  <c r="K40" i="1"/>
  <c r="L40" i="1"/>
  <c r="M39" i="1"/>
  <c r="K41" i="1"/>
  <c r="L41" i="1"/>
  <c r="K42" i="1"/>
  <c r="M40" i="1"/>
  <c r="M41" i="1"/>
  <c r="L42" i="1"/>
  <c r="K43" i="1"/>
  <c r="M42" i="1"/>
  <c r="L43" i="1"/>
  <c r="K44" i="1"/>
  <c r="M43" i="1"/>
  <c r="L44" i="1"/>
  <c r="J45" i="1"/>
  <c r="M44" i="1"/>
  <c r="K45" i="1"/>
  <c r="L45" i="1"/>
  <c r="K46" i="1"/>
  <c r="J72" i="1"/>
  <c r="M45" i="1"/>
  <c r="L46" i="1"/>
  <c r="K47" i="1"/>
  <c r="M46" i="1"/>
  <c r="M72" i="1"/>
  <c r="L47" i="1"/>
  <c r="K48" i="1"/>
  <c r="L72" i="1"/>
  <c r="M47" i="1"/>
  <c r="L48" i="1"/>
  <c r="K49" i="1"/>
  <c r="M48" i="1"/>
  <c r="L49" i="1"/>
  <c r="K50" i="1"/>
  <c r="L50" i="1"/>
  <c r="J51" i="1"/>
  <c r="M49" i="1"/>
  <c r="K51" i="1"/>
  <c r="L51" i="1"/>
  <c r="K52" i="1"/>
  <c r="M50" i="1"/>
  <c r="M51" i="1"/>
  <c r="L52" i="1"/>
  <c r="K53" i="1"/>
  <c r="M52" i="1"/>
  <c r="L53" i="1"/>
  <c r="K54" i="1"/>
  <c r="M53" i="1"/>
  <c r="L54" i="1"/>
  <c r="K55" i="1"/>
  <c r="M54" i="1"/>
  <c r="L55" i="1"/>
  <c r="K56" i="1"/>
  <c r="M55" i="1"/>
  <c r="L56" i="1"/>
  <c r="J57" i="1"/>
  <c r="J73" i="1"/>
  <c r="K57" i="1"/>
  <c r="M56" i="1"/>
  <c r="L57" i="1"/>
  <c r="M57" i="1"/>
  <c r="K58" i="1"/>
  <c r="L58" i="1"/>
  <c r="K59" i="1"/>
  <c r="L59" i="1"/>
  <c r="K60" i="1"/>
  <c r="L73" i="1"/>
  <c r="M58" i="1"/>
  <c r="M73" i="1"/>
  <c r="M59" i="1"/>
  <c r="L60" i="1"/>
  <c r="K61" i="1"/>
  <c r="M60" i="1"/>
  <c r="L61" i="1"/>
  <c r="K62" i="1"/>
  <c r="M61" i="1"/>
  <c r="L62" i="1"/>
  <c r="J63" i="1"/>
  <c r="K63" i="1"/>
  <c r="L63" i="1"/>
  <c r="K64" i="1"/>
  <c r="M62" i="1"/>
  <c r="M63" i="1"/>
  <c r="L64" i="1"/>
  <c r="K65" i="1"/>
  <c r="M64" i="1"/>
  <c r="L65" i="1"/>
  <c r="K66" i="1"/>
  <c r="M65" i="1"/>
  <c r="L66" i="1"/>
  <c r="K67" i="1"/>
  <c r="M66" i="1"/>
  <c r="L67" i="1"/>
  <c r="K68" i="1"/>
  <c r="M67" i="1"/>
  <c r="L68" i="1"/>
  <c r="J69" i="1"/>
  <c r="M68" i="1"/>
  <c r="J74" i="1"/>
  <c r="K69" i="1"/>
  <c r="L69" i="1"/>
  <c r="K70" i="1"/>
  <c r="L70" i="1"/>
  <c r="M70" i="1"/>
  <c r="M69" i="1"/>
  <c r="L74" i="1"/>
  <c r="I26" i="1"/>
  <c r="M74" i="1"/>
  <c r="I27" i="1"/>
  <c r="K26" i="1"/>
  <c r="M26" i="1"/>
</calcChain>
</file>

<file path=xl/sharedStrings.xml><?xml version="1.0" encoding="utf-8"?>
<sst xmlns="http://schemas.openxmlformats.org/spreadsheetml/2006/main" count="159" uniqueCount="128">
  <si>
    <t>COLOUR CODE:</t>
  </si>
  <si>
    <t>REQUIRED
 USER INPUT</t>
  </si>
  <si>
    <t>OPTIONAL
USER INPUT</t>
  </si>
  <si>
    <t>FIXED INPUT
 DON'T EDIT</t>
  </si>
  <si>
    <t>CALCULATION 
DON'T EDIT</t>
  </si>
  <si>
    <t>Andrew VanderZaag</t>
  </si>
  <si>
    <t>INPUTS:</t>
  </si>
  <si>
    <t>DATA VALIDATION</t>
  </si>
  <si>
    <t>Air</t>
  </si>
  <si>
    <t>Manure</t>
  </si>
  <si>
    <t>Parameter:</t>
  </si>
  <si>
    <t>Value</t>
  </si>
  <si>
    <t>Units</t>
  </si>
  <si>
    <t>Source:</t>
  </si>
  <si>
    <t>Notes</t>
  </si>
  <si>
    <t>Default Value:</t>
  </si>
  <si>
    <t>Named Cell</t>
  </si>
  <si>
    <t>Temperature</t>
  </si>
  <si>
    <t>VS Excretion:</t>
  </si>
  <si>
    <t>kg/year</t>
  </si>
  <si>
    <t>user input</t>
  </si>
  <si>
    <t>based on VS excretion, and manure handling</t>
  </si>
  <si>
    <t>n/a</t>
  </si>
  <si>
    <t>VS_PROD_YR</t>
  </si>
  <si>
    <t>Data Menu 1</t>
  </si>
  <si>
    <t>Month</t>
  </si>
  <si>
    <t>°C</t>
  </si>
  <si>
    <t>Removed (Y/N)</t>
  </si>
  <si>
    <t>VS % liquid storage:</t>
  </si>
  <si>
    <t>%</t>
  </si>
  <si>
    <t xml:space="preserve">% going to liquid storage (e.g. solid-liquid separation) </t>
  </si>
  <si>
    <t>VS_PCT_LIQUID</t>
  </si>
  <si>
    <t>January</t>
  </si>
  <si>
    <t>N</t>
  </si>
  <si>
    <t>note emissions from solid must be handled separately</t>
  </si>
  <si>
    <t>February</t>
  </si>
  <si>
    <t>f equation:</t>
  </si>
  <si>
    <t>f = EXP((Ea*(T2-T1))/(R*T2*303.16))</t>
  </si>
  <si>
    <t>van’t Hoff-Arrhenius equation (Mangino et al. 2001; IPCC 2006), with updated input parameters (see Annex Fig. 3)</t>
  </si>
  <si>
    <t>March</t>
  </si>
  <si>
    <t>T1</t>
  </si>
  <si>
    <t xml:space="preserve">K </t>
  </si>
  <si>
    <t>Temperature of B0 assays</t>
  </si>
  <si>
    <t>f_T1</t>
  </si>
  <si>
    <t>Data Menu 2</t>
  </si>
  <si>
    <t>April</t>
  </si>
  <si>
    <t>T2</t>
  </si>
  <si>
    <t>monthly input</t>
  </si>
  <si>
    <t>K</t>
  </si>
  <si>
    <t>Enter in Column D (D9:D20)</t>
  </si>
  <si>
    <t>Y</t>
  </si>
  <si>
    <t>May</t>
  </si>
  <si>
    <t>Ea</t>
  </si>
  <si>
    <t>cal/mol</t>
  </si>
  <si>
    <t>Petersen et al. PLoS One</t>
  </si>
  <si>
    <t>(compare: 15175 from Mangino et al. 2001)</t>
  </si>
  <si>
    <t>f_Ea</t>
  </si>
  <si>
    <t>June</t>
  </si>
  <si>
    <t>R</t>
  </si>
  <si>
    <t>cal/K.mol</t>
  </si>
  <si>
    <t>Mangino et al. 2001</t>
  </si>
  <si>
    <t>f_R</t>
  </si>
  <si>
    <t>July</t>
  </si>
  <si>
    <t>n</t>
  </si>
  <si>
    <t>Minimum T2</t>
  </si>
  <si>
    <t>C</t>
  </si>
  <si>
    <t>Judgement.</t>
  </si>
  <si>
    <t>converted to K in calculation</t>
  </si>
  <si>
    <t>f_Tmin</t>
  </si>
  <si>
    <t>August</t>
  </si>
  <si>
    <t>Damping T2</t>
  </si>
  <si>
    <r>
      <t xml:space="preserve">Judgement </t>
    </r>
    <r>
      <rPr>
        <sz val="10"/>
        <color theme="1"/>
        <rFont val="Calibri"/>
        <family val="2"/>
        <scheme val="minor"/>
      </rPr>
      <t>(Rennie et al. 2017.)</t>
    </r>
  </si>
  <si>
    <t>applied only when manure removed once per year</t>
  </si>
  <si>
    <t>f_T2damping</t>
  </si>
  <si>
    <t>September</t>
  </si>
  <si>
    <r>
      <t>B</t>
    </r>
    <r>
      <rPr>
        <b/>
        <sz val="8"/>
        <color theme="1"/>
        <rFont val="Calibri"/>
        <family val="2"/>
        <scheme val="minor"/>
      </rPr>
      <t>0</t>
    </r>
  </si>
  <si>
    <t>m3/kg VS added</t>
  </si>
  <si>
    <r>
      <t>refer to IPCC guidance for default B</t>
    </r>
    <r>
      <rPr>
        <sz val="8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 values</t>
    </r>
  </si>
  <si>
    <t>B0</t>
  </si>
  <si>
    <t>October</t>
  </si>
  <si>
    <t>MDP</t>
  </si>
  <si>
    <t>unitless</t>
  </si>
  <si>
    <t>MDP is not used (i.e. =1.0). Adjust VS % liquid storage or excretion instead.</t>
  </si>
  <si>
    <t>November</t>
  </si>
  <si>
    <t>December</t>
  </si>
  <si>
    <t>emptying efficiency</t>
  </si>
  <si>
    <t>Judgement. Default 95%</t>
  </si>
  <si>
    <t>Percent of manure removed (1-residual)</t>
  </si>
  <si>
    <t>EMPTY_EFFICIENCY</t>
  </si>
  <si>
    <t>CH4 density</t>
  </si>
  <si>
    <t>kg/m3</t>
  </si>
  <si>
    <t>IPCC guidance</t>
  </si>
  <si>
    <t>CH4_DENSITY</t>
  </si>
  <si>
    <t>Average</t>
  </si>
  <si>
    <t>Count of "Y"</t>
  </si>
  <si>
    <t>RESULTS:</t>
  </si>
  <si>
    <t xml:space="preserve">  Analysis of model year 3</t>
  </si>
  <si>
    <t>VS Excreted (kg)</t>
  </si>
  <si>
    <t>VS "consumed" (kg)</t>
  </si>
  <si>
    <t>MCF =</t>
  </si>
  <si>
    <t>=</t>
  </si>
  <si>
    <t>VS Loaded (kg)</t>
  </si>
  <si>
    <t>CH4 emissions (m3)</t>
  </si>
  <si>
    <t xml:space="preserve">Potential CH4 (m3) </t>
  </si>
  <si>
    <r>
      <t xml:space="preserve">MODEL: </t>
    </r>
    <r>
      <rPr>
        <i/>
        <sz val="16"/>
        <color theme="1"/>
        <rFont val="Calibri"/>
        <family val="2"/>
        <scheme val="minor"/>
      </rPr>
      <t>Runs for three years  in order to ensure VS available has stabilized on an annual basis. The results from the third year (stabilized conditions) are used</t>
    </r>
  </si>
  <si>
    <t>GRAPH OF MODEL YEAR 3</t>
  </si>
  <si>
    <t>(lookup)</t>
  </si>
  <si>
    <t>(converted)</t>
  </si>
  <si>
    <t>(calculated - van't Hoff)</t>
  </si>
  <si>
    <t>VS Excreted</t>
  </si>
  <si>
    <t>VS Loaded</t>
  </si>
  <si>
    <t>Emptying</t>
  </si>
  <si>
    <t>VS Emptied</t>
  </si>
  <si>
    <t>VS "Available"</t>
  </si>
  <si>
    <t>VS "consumed"</t>
  </si>
  <si>
    <r>
      <t>CH</t>
    </r>
    <r>
      <rPr>
        <b/>
        <sz val="8"/>
        <color theme="1"/>
        <rFont val="Calibri"/>
        <family val="2"/>
        <scheme val="minor"/>
      </rPr>
      <t>4</t>
    </r>
    <r>
      <rPr>
        <b/>
        <sz val="11"/>
        <color theme="1"/>
        <rFont val="Calibri"/>
        <family val="2"/>
        <scheme val="minor"/>
      </rPr>
      <t xml:space="preserve"> Produced</t>
    </r>
  </si>
  <si>
    <t>Year</t>
  </si>
  <si>
    <t>Tav_C</t>
  </si>
  <si>
    <t>Tav_K</t>
  </si>
  <si>
    <t>f</t>
  </si>
  <si>
    <t>kg/month</t>
  </si>
  <si>
    <t>Y/N</t>
  </si>
  <si>
    <t>kg</t>
  </si>
  <si>
    <t>m3</t>
  </si>
  <si>
    <t>SUM:</t>
  </si>
  <si>
    <t>Year 1</t>
  </si>
  <si>
    <t>Year 2</t>
  </si>
  <si>
    <t>Year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</si>
</sst>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"/>
    <numFmt numFmtId="166" formatCode="_-* #,##0_-;\-* #,##0_-;_-* &quot;-&quot;??_-;_-@_-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3" xfId="0" applyFill="1" applyBorder="1" applyAlignment="1">
      <alignment horizontal="center"/>
    </xf>
    <xf numFmtId="1" fontId="0" fillId="0" borderId="0" xfId="0" applyNumberFormat="1"/>
    <xf numFmtId="0" fontId="0" fillId="2" borderId="5" xfId="0" applyFill="1" applyBorder="1"/>
    <xf numFmtId="0" fontId="0" fillId="0" borderId="9" xfId="0" applyBorder="1"/>
    <xf numFmtId="0" fontId="2" fillId="0" borderId="1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12" xfId="0" applyFont="1" applyBorder="1"/>
    <xf numFmtId="9" fontId="0" fillId="0" borderId="11" xfId="0" applyNumberFormat="1" applyBorder="1" applyAlignment="1">
      <alignment horizontal="center"/>
    </xf>
    <xf numFmtId="0" fontId="0" fillId="0" borderId="0" xfId="0" applyAlignment="1">
      <alignment horizontal="left"/>
    </xf>
    <xf numFmtId="165" fontId="0" fillId="0" borderId="11" xfId="0" applyNumberFormat="1" applyBorder="1" applyAlignment="1">
      <alignment horizontal="center"/>
    </xf>
    <xf numFmtId="0" fontId="0" fillId="0" borderId="11" xfId="0" applyBorder="1"/>
    <xf numFmtId="0" fontId="0" fillId="0" borderId="12" xfId="0" applyBorder="1"/>
    <xf numFmtId="165" fontId="0" fillId="0" borderId="0" xfId="0" applyNumberFormat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3" fillId="4" borderId="6" xfId="0" applyFont="1" applyFill="1" applyBorder="1"/>
    <xf numFmtId="0" fontId="0" fillId="4" borderId="7" xfId="0" applyFill="1" applyBorder="1"/>
    <xf numFmtId="0" fontId="0" fillId="4" borderId="8" xfId="0" applyFill="1" applyBorder="1"/>
    <xf numFmtId="0" fontId="0" fillId="3" borderId="0" xfId="0" applyFill="1"/>
    <xf numFmtId="0" fontId="0" fillId="2" borderId="2" xfId="0" applyFill="1" applyBorder="1"/>
    <xf numFmtId="165" fontId="0" fillId="5" borderId="5" xfId="0" applyNumberFormat="1" applyFill="1" applyBorder="1"/>
    <xf numFmtId="0" fontId="0" fillId="5" borderId="5" xfId="0" applyFill="1" applyBorder="1"/>
    <xf numFmtId="0" fontId="2" fillId="0" borderId="16" xfId="0" applyFont="1" applyBorder="1"/>
    <xf numFmtId="0" fontId="2" fillId="0" borderId="17" xfId="0" applyFont="1" applyBorder="1"/>
    <xf numFmtId="0" fontId="2" fillId="0" borderId="17" xfId="0" applyFont="1" applyBorder="1" applyAlignment="1">
      <alignment horizontal="left"/>
    </xf>
    <xf numFmtId="0" fontId="2" fillId="0" borderId="17" xfId="0" applyFont="1" applyBorder="1" applyAlignment="1">
      <alignment horizontal="right"/>
    </xf>
    <xf numFmtId="0" fontId="0" fillId="0" borderId="18" xfId="0" applyBorder="1"/>
    <xf numFmtId="9" fontId="0" fillId="0" borderId="0" xfId="0" applyNumberFormat="1" applyAlignment="1">
      <alignment horizontal="center"/>
    </xf>
    <xf numFmtId="0" fontId="0" fillId="0" borderId="0" xfId="0" quotePrefix="1"/>
    <xf numFmtId="9" fontId="0" fillId="2" borderId="5" xfId="2" applyFont="1" applyFill="1" applyBorder="1"/>
    <xf numFmtId="0" fontId="0" fillId="0" borderId="0" xfId="0" applyAlignment="1">
      <alignment horizontal="right"/>
    </xf>
    <xf numFmtId="0" fontId="9" fillId="4" borderId="7" xfId="0" applyFont="1" applyFill="1" applyBorder="1"/>
    <xf numFmtId="0" fontId="0" fillId="0" borderId="15" xfId="0" applyBorder="1"/>
    <xf numFmtId="0" fontId="4" fillId="0" borderId="0" xfId="0" applyFont="1" applyAlignment="1">
      <alignment horizontal="center"/>
    </xf>
    <xf numFmtId="165" fontId="0" fillId="2" borderId="27" xfId="0" applyNumberFormat="1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165" fontId="0" fillId="2" borderId="17" xfId="0" applyNumberFormat="1" applyFill="1" applyBorder="1" applyAlignment="1">
      <alignment horizontal="center"/>
    </xf>
    <xf numFmtId="165" fontId="0" fillId="2" borderId="23" xfId="0" applyNumberForma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3" xfId="0" applyBorder="1" applyAlignment="1">
      <alignment horizontal="center"/>
    </xf>
    <xf numFmtId="165" fontId="0" fillId="6" borderId="5" xfId="0" applyNumberFormat="1" applyFill="1" applyBorder="1"/>
    <xf numFmtId="9" fontId="0" fillId="6" borderId="5" xfId="2" applyFont="1" applyFill="1" applyBorder="1"/>
    <xf numFmtId="166" fontId="0" fillId="0" borderId="0" xfId="1" applyNumberFormat="1" applyFont="1" applyAlignment="1">
      <alignment horizontal="center"/>
    </xf>
    <xf numFmtId="166" fontId="0" fillId="0" borderId="14" xfId="1" applyNumberFormat="1" applyFont="1" applyBorder="1" applyAlignment="1">
      <alignment horizontal="center"/>
    </xf>
    <xf numFmtId="0" fontId="3" fillId="4" borderId="7" xfId="0" applyFont="1" applyFill="1" applyBorder="1"/>
    <xf numFmtId="0" fontId="0" fillId="4" borderId="31" xfId="0" applyFill="1" applyBorder="1"/>
    <xf numFmtId="0" fontId="7" fillId="0" borderId="0" xfId="0" applyFont="1" applyAlignment="1">
      <alignment horizontal="center"/>
    </xf>
    <xf numFmtId="9" fontId="10" fillId="0" borderId="0" xfId="2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14" xfId="0" applyBorder="1" applyAlignment="1">
      <alignment horizontal="left"/>
    </xf>
    <xf numFmtId="0" fontId="2" fillId="3" borderId="21" xfId="0" applyFont="1" applyFill="1" applyBorder="1"/>
    <xf numFmtId="0" fontId="2" fillId="3" borderId="22" xfId="0" applyFont="1" applyFill="1" applyBorder="1"/>
    <xf numFmtId="0" fontId="2" fillId="3" borderId="9" xfId="0" applyFont="1" applyFill="1" applyBorder="1"/>
    <xf numFmtId="0" fontId="0" fillId="3" borderId="9" xfId="0" applyFill="1" applyBorder="1"/>
    <xf numFmtId="0" fontId="0" fillId="3" borderId="13" xfId="0" applyFill="1" applyBorder="1"/>
    <xf numFmtId="0" fontId="7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165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2" fontId="0" fillId="3" borderId="0" xfId="0" applyNumberFormat="1" applyFill="1" applyAlignment="1">
      <alignment horizontal="center"/>
    </xf>
    <xf numFmtId="166" fontId="0" fillId="3" borderId="0" xfId="1" applyNumberFormat="1" applyFont="1" applyFill="1" applyAlignment="1">
      <alignment horizontal="center"/>
    </xf>
    <xf numFmtId="166" fontId="0" fillId="3" borderId="19" xfId="1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6" fontId="0" fillId="3" borderId="1" xfId="1" applyNumberFormat="1" applyFont="1" applyFill="1" applyBorder="1" applyAlignment="1">
      <alignment horizontal="center"/>
    </xf>
    <xf numFmtId="0" fontId="2" fillId="3" borderId="0" xfId="0" applyFont="1" applyFill="1" applyAlignment="1">
      <alignment horizontal="right"/>
    </xf>
    <xf numFmtId="0" fontId="0" fillId="3" borderId="14" xfId="0" applyFill="1" applyBorder="1"/>
    <xf numFmtId="0" fontId="2" fillId="3" borderId="14" xfId="0" applyFont="1" applyFill="1" applyBorder="1" applyAlignment="1">
      <alignment horizontal="right"/>
    </xf>
    <xf numFmtId="166" fontId="0" fillId="3" borderId="14" xfId="1" applyNumberFormat="1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166" fontId="0" fillId="3" borderId="30" xfId="1" applyNumberFormat="1" applyFont="1" applyFill="1" applyBorder="1" applyAlignment="1">
      <alignment horizontal="center"/>
    </xf>
    <xf numFmtId="0" fontId="0" fillId="3" borderId="11" xfId="0" applyFill="1" applyBorder="1"/>
    <xf numFmtId="0" fontId="0" fillId="3" borderId="9" xfId="0" applyFill="1" applyBorder="1" applyAlignment="1">
      <alignment horizontal="right"/>
    </xf>
    <xf numFmtId="166" fontId="0" fillId="3" borderId="0" xfId="1" applyNumberFormat="1" applyFont="1" applyFill="1" applyAlignment="1">
      <alignment horizontal="left"/>
    </xf>
    <xf numFmtId="1" fontId="0" fillId="3" borderId="0" xfId="0" applyNumberFormat="1" applyFill="1" applyAlignment="1">
      <alignment horizontal="left"/>
    </xf>
    <xf numFmtId="166" fontId="2" fillId="3" borderId="1" xfId="1" applyNumberFormat="1" applyFont="1" applyFill="1" applyBorder="1" applyAlignment="1">
      <alignment horizontal="center"/>
    </xf>
    <xf numFmtId="166" fontId="2" fillId="3" borderId="0" xfId="1" applyNumberFormat="1" applyFont="1" applyFill="1" applyAlignment="1">
      <alignment horizontal="center"/>
    </xf>
    <xf numFmtId="0" fontId="0" fillId="3" borderId="0" xfId="0" applyFill="1" applyAlignment="1">
      <alignment horizontal="left"/>
    </xf>
    <xf numFmtId="0" fontId="0" fillId="3" borderId="15" xfId="0" applyFill="1" applyBorder="1"/>
    <xf numFmtId="165" fontId="0" fillId="3" borderId="2" xfId="0" applyNumberFormat="1" applyFill="1" applyBorder="1" applyAlignment="1">
      <alignment horizontal="center"/>
    </xf>
    <xf numFmtId="165" fontId="0" fillId="3" borderId="3" xfId="0" applyNumberFormat="1" applyFill="1" applyBorder="1" applyAlignment="1">
      <alignment horizontal="center"/>
    </xf>
    <xf numFmtId="165" fontId="0" fillId="3" borderId="4" xfId="0" applyNumberFormat="1" applyFill="1" applyBorder="1" applyAlignment="1">
      <alignment horizontal="center"/>
    </xf>
    <xf numFmtId="166" fontId="0" fillId="3" borderId="0" xfId="1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1" xfId="0" applyFont="1" applyFill="1" applyBorder="1" applyAlignment="1">
      <alignment horizontal="right"/>
    </xf>
    <xf numFmtId="0" fontId="2" fillId="3" borderId="28" xfId="0" applyFont="1" applyFill="1" applyBorder="1" applyAlignment="1">
      <alignment horizontal="right"/>
    </xf>
    <xf numFmtId="0" fontId="7" fillId="3" borderId="20" xfId="0" applyFont="1" applyFill="1" applyBorder="1" applyAlignment="1">
      <alignment horizontal="right"/>
    </xf>
    <xf numFmtId="0" fontId="0" fillId="5" borderId="5" xfId="0" applyFill="1" applyBorder="1" applyAlignment="1">
      <alignment horizontal="center"/>
    </xf>
    <xf numFmtId="1" fontId="0" fillId="3" borderId="0" xfId="0" applyNumberFormat="1" applyFill="1" applyAlignment="1">
      <alignment horizontal="center"/>
    </xf>
    <xf numFmtId="0" fontId="11" fillId="0" borderId="14" xfId="0" applyFont="1" applyBorder="1" applyAlignment="1">
      <alignment horizontal="center" vertical="center"/>
    </xf>
    <xf numFmtId="15" fontId="12" fillId="0" borderId="0" xfId="0" applyNumberFormat="1" applyFont="1"/>
    <xf numFmtId="0" fontId="12" fillId="0" borderId="0" xfId="0" applyFont="1" applyAlignment="1">
      <alignment horizontal="right"/>
    </xf>
    <xf numFmtId="0" fontId="2" fillId="4" borderId="24" xfId="0" applyFont="1" applyFill="1" applyBorder="1"/>
    <xf numFmtId="0" fontId="0" fillId="0" borderId="32" xfId="0" applyBorder="1"/>
    <xf numFmtId="0" fontId="0" fillId="0" borderId="29" xfId="0" applyBorder="1"/>
    <xf numFmtId="0" fontId="2" fillId="3" borderId="29" xfId="0" applyFont="1" applyFill="1" applyBorder="1" applyAlignment="1">
      <alignment horizontal="center" vertical="center"/>
    </xf>
    <xf numFmtId="0" fontId="0" fillId="3" borderId="25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10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10" fillId="3" borderId="0" xfId="0" quotePrefix="1" applyFont="1" applyFill="1" applyAlignment="1">
      <alignment horizontal="center" vertical="center"/>
    </xf>
    <xf numFmtId="9" fontId="10" fillId="3" borderId="11" xfId="2" applyFont="1" applyFill="1" applyBorder="1" applyAlignment="1">
      <alignment horizontal="left" vertical="center"/>
    </xf>
    <xf numFmtId="9" fontId="8" fillId="3" borderId="11" xfId="0" applyNumberFormat="1" applyFont="1" applyFill="1" applyBorder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Methane Produced (m</a:t>
            </a:r>
            <a:r>
              <a:rPr lang="en-US" sz="1600" baseline="30000"/>
              <a:t>3</a:t>
            </a:r>
            <a:r>
              <a:rPr lang="en-US" sz="1600"/>
              <a:t>) </a:t>
            </a:r>
          </a:p>
        </c:rich>
      </c:tx>
      <c:layout>
        <c:manualLayout>
          <c:xMode val="edge"/>
          <c:yMode val="edge"/>
          <c:x val="0.41052415713603546"/>
          <c:y val="1.7031820600643323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7113412541191711"/>
          <c:y val="9.9995500562429701E-2"/>
          <c:w val="0.7920309109218906"/>
          <c:h val="0.73135995991566194"/>
        </c:manualLayout>
      </c:layout>
      <c:areaChart>
        <c:grouping val="standard"/>
        <c:varyColors val="0"/>
        <c:ser>
          <c:idx val="1"/>
          <c:order val="0"/>
          <c:spPr>
            <a:solidFill>
              <a:schemeClr val="bg1">
                <a:lumMod val="95000"/>
              </a:schemeClr>
            </a:solidFill>
            <a:ln w="38100">
              <a:solidFill>
                <a:schemeClr val="tx1">
                  <a:lumMod val="50000"/>
                  <a:lumOff val="50000"/>
                </a:schemeClr>
              </a:solidFill>
            </a:ln>
          </c:spPr>
          <c:val>
            <c:numRef>
              <c:f>'MCF Model'!$M$59:$M$70</c:f>
              <c:numCache>
                <c:formatCode>_-* #,##0_-;\-* #,##0_-;_-* "-"??_-;_-@_-</c:formatCode>
                <c:ptCount val="12"/>
                <c:pt idx="0">
                  <c:v>1.4884337228675097</c:v>
                </c:pt>
                <c:pt idx="1">
                  <c:v>1.9352014873513153</c:v>
                </c:pt>
                <c:pt idx="2">
                  <c:v>2.3731026348736606</c:v>
                </c:pt>
                <c:pt idx="3">
                  <c:v>2.8023131335830804</c:v>
                </c:pt>
                <c:pt idx="4">
                  <c:v>0.98472869795925</c:v>
                </c:pt>
                <c:pt idx="5">
                  <c:v>3.6028884483449679</c:v>
                </c:pt>
                <c:pt idx="6">
                  <c:v>8.4809745217646082</c:v>
                </c:pt>
                <c:pt idx="7">
                  <c:v>13.703925719403953</c:v>
                </c:pt>
                <c:pt idx="8">
                  <c:v>13.608182790937498</c:v>
                </c:pt>
                <c:pt idx="9">
                  <c:v>8.6340022662787597</c:v>
                </c:pt>
                <c:pt idx="10">
                  <c:v>1.0639327344225507</c:v>
                </c:pt>
                <c:pt idx="11">
                  <c:v>1.0326212400668211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7-4BB7-8FB8-28BE6E0E9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219840"/>
        <c:axId val="47221760"/>
      </c:areaChart>
      <c:catAx>
        <c:axId val="47219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CA" sz="1200"/>
                  <a:t>Month</a:t>
                </a:r>
              </a:p>
            </c:rich>
          </c:tx>
          <c:overlay val="0"/>
        </c:title>
        <c:majorTickMark val="out"/>
        <c:minorTickMark val="none"/>
        <c:tickLblPos val="nextTo"/>
        <c:crossAx val="47221760"/>
        <c:crosses val="autoZero"/>
        <c:auto val="1"/>
        <c:lblAlgn val="ctr"/>
        <c:lblOffset val="100"/>
        <c:noMultiLvlLbl val="0"/>
      </c:catAx>
      <c:valAx>
        <c:axId val="4722176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crossAx val="47219840"/>
        <c:crosses val="autoZero"/>
        <c:crossBetween val="midCat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VS Available (left) &amp; Emptied (right)</a:t>
            </a:r>
          </a:p>
        </c:rich>
      </c:tx>
      <c:layout>
        <c:manualLayout>
          <c:xMode val="edge"/>
          <c:yMode val="edge"/>
          <c:x val="0.25574051199182712"/>
          <c:y val="1.6672936948141585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5153202329709173"/>
          <c:y val="0.15436290753973991"/>
          <c:w val="0.71206514578682878"/>
          <c:h val="0.69092718525922359"/>
        </c:manualLayout>
      </c:layout>
      <c:areaChart>
        <c:grouping val="standard"/>
        <c:varyColors val="0"/>
        <c:ser>
          <c:idx val="1"/>
          <c:order val="0"/>
          <c:tx>
            <c:strRef>
              <c:f>'MCF Model'!$K$33</c:f>
              <c:strCache>
                <c:ptCount val="1"/>
                <c:pt idx="0">
                  <c:v>VS "Available"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 w="38100">
              <a:solidFill>
                <a:schemeClr val="tx1">
                  <a:lumMod val="50000"/>
                  <a:lumOff val="50000"/>
                </a:schemeClr>
              </a:solidFill>
            </a:ln>
          </c:spPr>
          <c:val>
            <c:numRef>
              <c:f>'MCF Model'!$K$59:$K$70</c:f>
              <c:numCache>
                <c:formatCode>_-* #,##0_-;\-* #,##0_-;_-* "-"??_-;_-@_-</c:formatCode>
                <c:ptCount val="12"/>
                <c:pt idx="0">
                  <c:v>312.49433024937912</c:v>
                </c:pt>
                <c:pt idx="1">
                  <c:v>406.2925230707645</c:v>
                </c:pt>
                <c:pt idx="2">
                  <c:v>498.22918354013404</c:v>
                </c:pt>
                <c:pt idx="3">
                  <c:v>588.3412558948271</c:v>
                </c:pt>
                <c:pt idx="4">
                  <c:v>128.83324755857825</c:v>
                </c:pt>
                <c:pt idx="5">
                  <c:v>224.73021131708137</c:v>
                </c:pt>
                <c:pt idx="6">
                  <c:v>309.71817611564404</c:v>
                </c:pt>
                <c:pt idx="7">
                  <c:v>374.38078227495816</c:v>
                </c:pt>
                <c:pt idx="8">
                  <c:v>417.2810917774417</c:v>
                </c:pt>
                <c:pt idx="9">
                  <c:v>460.58033014853544</c:v>
                </c:pt>
                <c:pt idx="10">
                  <c:v>121.23026603528541</c:v>
                </c:pt>
                <c:pt idx="11">
                  <c:v>216.79721297519146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5E-4EB7-8C9B-8DE4A8812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25280"/>
        <c:axId val="49826816"/>
      </c:areaChart>
      <c:areaChart>
        <c:grouping val="stacked"/>
        <c:varyColors val="0"/>
        <c:ser>
          <c:idx val="0"/>
          <c:order val="1"/>
          <c:tx>
            <c:strRef>
              <c:f>'MCF Model'!$J$33</c:f>
              <c:strCache>
                <c:ptCount val="1"/>
                <c:pt idx="0">
                  <c:v>VS Emptied</c:v>
                </c:pt>
              </c:strCache>
            </c:strRef>
          </c:tx>
          <c:spPr>
            <a:solidFill>
              <a:schemeClr val="bg1">
                <a:lumMod val="50000"/>
                <a:alpha val="25000"/>
              </a:schemeClr>
            </a:solidFill>
            <a:ln>
              <a:noFill/>
            </a:ln>
          </c:spPr>
          <c:val>
            <c:numRef>
              <c:f>'MCF Model'!$J$59:$J$70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547.83170361298596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403.37505467042189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5E-4EB7-8C9B-8DE4A8812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34240"/>
        <c:axId val="49832704"/>
      </c:areaChart>
      <c:catAx>
        <c:axId val="49825280"/>
        <c:scaling>
          <c:orientation val="minMax"/>
        </c:scaling>
        <c:delete val="0"/>
        <c:axPos val="b"/>
        <c:majorTickMark val="out"/>
        <c:minorTickMark val="none"/>
        <c:tickLblPos val="nextTo"/>
        <c:crossAx val="49826816"/>
        <c:crosses val="autoZero"/>
        <c:auto val="1"/>
        <c:lblAlgn val="ctr"/>
        <c:lblOffset val="100"/>
        <c:noMultiLvlLbl val="0"/>
      </c:catAx>
      <c:valAx>
        <c:axId val="4982681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crossAx val="49825280"/>
        <c:crosses val="autoZero"/>
        <c:crossBetween val="midCat"/>
      </c:valAx>
      <c:valAx>
        <c:axId val="49832704"/>
        <c:scaling>
          <c:orientation val="maxMin"/>
        </c:scaling>
        <c:delete val="0"/>
        <c:axPos val="r"/>
        <c:numFmt formatCode="#,##0" sourceLinked="0"/>
        <c:majorTickMark val="out"/>
        <c:minorTickMark val="none"/>
        <c:tickLblPos val="nextTo"/>
        <c:crossAx val="49834240"/>
        <c:crosses val="max"/>
        <c:crossBetween val="midCat"/>
      </c:valAx>
      <c:catAx>
        <c:axId val="49834240"/>
        <c:scaling>
          <c:orientation val="minMax"/>
        </c:scaling>
        <c:delete val="1"/>
        <c:axPos val="t"/>
        <c:majorTickMark val="out"/>
        <c:minorTickMark val="none"/>
        <c:tickLblPos val="nextTo"/>
        <c:crossAx val="49832704"/>
        <c:crosses val="autoZero"/>
        <c:auto val="1"/>
        <c:lblAlgn val="ctr"/>
        <c:lblOffset val="100"/>
        <c:noMultiLvlLbl val="0"/>
      </c:cat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Manure Temperature</a:t>
            </a:r>
          </a:p>
        </c:rich>
      </c:tx>
      <c:layout>
        <c:manualLayout>
          <c:xMode val="edge"/>
          <c:yMode val="edge"/>
          <c:x val="0.37083976747256964"/>
          <c:y val="4.7820994964552103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3587285055123319"/>
          <c:y val="0.10855324188835959"/>
          <c:w val="0.81478316694772834"/>
          <c:h val="0.7367368999265772"/>
        </c:manualLayout>
      </c:layout>
      <c:areaChart>
        <c:grouping val="standard"/>
        <c:varyColors val="0"/>
        <c:ser>
          <c:idx val="1"/>
          <c:order val="0"/>
          <c:spPr>
            <a:solidFill>
              <a:schemeClr val="bg1">
                <a:lumMod val="95000"/>
              </a:schemeClr>
            </a:solidFill>
            <a:ln w="38100">
              <a:solidFill>
                <a:schemeClr val="tx1">
                  <a:lumMod val="50000"/>
                  <a:lumOff val="50000"/>
                </a:schemeClr>
              </a:solidFill>
            </a:ln>
          </c:spPr>
          <c:val>
            <c:numRef>
              <c:f>'MCF Model'!$D$59:$D$70</c:f>
              <c:numCache>
                <c:formatCode>0.0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4.7</c:v>
                </c:pt>
                <c:pt idx="5">
                  <c:v>10.7</c:v>
                </c:pt>
                <c:pt idx="6">
                  <c:v>15.2</c:v>
                </c:pt>
                <c:pt idx="7">
                  <c:v>17.7</c:v>
                </c:pt>
                <c:pt idx="8">
                  <c:v>16.7</c:v>
                </c:pt>
                <c:pt idx="9">
                  <c:v>12</c:v>
                </c:pt>
                <c:pt idx="10">
                  <c:v>5.8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F6-4FD1-A8E7-FBAAC0D65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56512"/>
        <c:axId val="49858048"/>
      </c:areaChart>
      <c:catAx>
        <c:axId val="49856512"/>
        <c:scaling>
          <c:orientation val="minMax"/>
        </c:scaling>
        <c:delete val="0"/>
        <c:axPos val="b"/>
        <c:majorTickMark val="out"/>
        <c:minorTickMark val="none"/>
        <c:tickLblPos val="nextTo"/>
        <c:crossAx val="49858048"/>
        <c:crosses val="autoZero"/>
        <c:auto val="1"/>
        <c:lblAlgn val="ctr"/>
        <c:lblOffset val="100"/>
        <c:noMultiLvlLbl val="0"/>
      </c:catAx>
      <c:valAx>
        <c:axId val="4985804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CA" sz="1200"/>
                  <a:t>Tempearture</a:t>
                </a:r>
                <a:r>
                  <a:rPr lang="en-CA" sz="1200" baseline="0"/>
                  <a:t>  (°C)</a:t>
                </a:r>
                <a:endParaRPr lang="en-CA" sz="1200"/>
              </a:p>
            </c:rich>
          </c:tx>
          <c:layout>
            <c:manualLayout>
              <c:xMode val="edge"/>
              <c:yMode val="edge"/>
              <c:x val="1.5535707045609803E-2"/>
              <c:y val="0.2577042716623949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49856512"/>
        <c:crosses val="autoZero"/>
        <c:crossBetween val="midCat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638735</xdr:colOff>
      <xdr:row>59</xdr:row>
      <xdr:rowOff>44822</xdr:rowOff>
    </xdr:from>
    <xdr:to>
      <xdr:col>17</xdr:col>
      <xdr:colOff>1165412</xdr:colOff>
      <xdr:row>73</xdr:row>
      <xdr:rowOff>112057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661146</xdr:colOff>
      <xdr:row>45</xdr:row>
      <xdr:rowOff>11205</xdr:rowOff>
    </xdr:from>
    <xdr:to>
      <xdr:col>18</xdr:col>
      <xdr:colOff>537882</xdr:colOff>
      <xdr:row>59</xdr:row>
      <xdr:rowOff>116542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795615</xdr:colOff>
      <xdr:row>32</xdr:row>
      <xdr:rowOff>44824</xdr:rowOff>
    </xdr:from>
    <xdr:to>
      <xdr:col>18</xdr:col>
      <xdr:colOff>44823</xdr:colOff>
      <xdr:row>45</xdr:row>
      <xdr:rowOff>11205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74"/>
  <sheetViews>
    <sheetView showGridLines="0" tabSelected="1" zoomScale="50" zoomScaleNormal="50" workbookViewId="0" xr3:uid="{AEA406A1-0E4B-5B11-9CD5-51D6E497D94C}"/>
  </sheetViews>
  <sheetFormatPr defaultRowHeight="14.45"/>
  <cols>
    <col min="1" max="1" width="2.7109375" customWidth="1"/>
    <col min="2" max="2" width="14.28515625" customWidth="1"/>
    <col min="3" max="4" width="15" customWidth="1"/>
    <col min="5" max="5" width="18.5703125" customWidth="1"/>
    <col min="6" max="6" width="20.28515625" customWidth="1"/>
    <col min="7" max="7" width="23.28515625" customWidth="1"/>
    <col min="8" max="8" width="18.85546875" bestFit="1" customWidth="1"/>
    <col min="9" max="9" width="18" customWidth="1"/>
    <col min="10" max="10" width="15.42578125" bestFit="1" customWidth="1"/>
    <col min="11" max="11" width="37.28515625" customWidth="1"/>
    <col min="12" max="12" width="14.5703125" customWidth="1"/>
    <col min="13" max="13" width="33.140625" customWidth="1"/>
    <col min="14" max="14" width="22.28515625" customWidth="1"/>
    <col min="15" max="15" width="24.42578125" customWidth="1"/>
    <col min="16" max="16" width="7.42578125" customWidth="1"/>
    <col min="17" max="17" width="17.5703125" bestFit="1" customWidth="1"/>
    <col min="18" max="18" width="14.5703125" customWidth="1"/>
  </cols>
  <sheetData>
    <row r="2" spans="2:17" ht="34.9" customHeight="1">
      <c r="B2" s="114" t="s">
        <v>0</v>
      </c>
      <c r="C2" s="115" t="s">
        <v>1</v>
      </c>
      <c r="D2" s="117" t="s">
        <v>2</v>
      </c>
      <c r="E2" s="119" t="s">
        <v>3</v>
      </c>
      <c r="F2" s="121" t="s">
        <v>4</v>
      </c>
      <c r="O2" s="100">
        <v>43235</v>
      </c>
    </row>
    <row r="3" spans="2:17" ht="38.450000000000003" customHeight="1">
      <c r="B3" s="114"/>
      <c r="C3" s="116"/>
      <c r="D3" s="118"/>
      <c r="E3" s="120"/>
      <c r="F3" s="122"/>
      <c r="O3" s="101" t="s">
        <v>5</v>
      </c>
    </row>
    <row r="4" spans="2:17" ht="15.75" thickBot="1"/>
    <row r="5" spans="2:17" ht="21">
      <c r="B5" s="21" t="s">
        <v>6</v>
      </c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3"/>
      <c r="Q5" s="102" t="s">
        <v>7</v>
      </c>
    </row>
    <row r="6" spans="2:17" ht="15">
      <c r="B6" s="7"/>
      <c r="D6" s="4" t="s">
        <v>8</v>
      </c>
      <c r="E6" s="3" t="s">
        <v>9</v>
      </c>
      <c r="H6" s="28" t="s">
        <v>10</v>
      </c>
      <c r="I6" s="1" t="s">
        <v>11</v>
      </c>
      <c r="J6" s="1" t="s">
        <v>12</v>
      </c>
      <c r="K6" s="1" t="s">
        <v>13</v>
      </c>
      <c r="L6" s="1" t="s">
        <v>14</v>
      </c>
      <c r="M6" s="1"/>
      <c r="N6" s="1" t="s">
        <v>15</v>
      </c>
      <c r="O6" s="8" t="s">
        <v>16</v>
      </c>
      <c r="P6" s="2"/>
      <c r="Q6" s="103"/>
    </row>
    <row r="7" spans="2:17" ht="15">
      <c r="B7" s="7"/>
      <c r="C7" s="3"/>
      <c r="D7" s="47" t="s">
        <v>17</v>
      </c>
      <c r="E7" s="3" t="s">
        <v>17</v>
      </c>
      <c r="F7" s="3" t="s">
        <v>9</v>
      </c>
      <c r="H7" s="29" t="s">
        <v>18</v>
      </c>
      <c r="I7" s="6">
        <v>1200</v>
      </c>
      <c r="J7" t="s">
        <v>19</v>
      </c>
      <c r="K7" s="12" t="s">
        <v>20</v>
      </c>
      <c r="L7" s="12" t="s">
        <v>21</v>
      </c>
      <c r="N7" s="3" t="s">
        <v>22</v>
      </c>
      <c r="O7" s="9" t="s">
        <v>23</v>
      </c>
      <c r="Q7" s="105" t="s">
        <v>24</v>
      </c>
    </row>
    <row r="8" spans="2:17">
      <c r="B8" s="10" t="s">
        <v>25</v>
      </c>
      <c r="C8" s="1" t="s">
        <v>25</v>
      </c>
      <c r="D8" s="46" t="s">
        <v>26</v>
      </c>
      <c r="E8" s="39" t="s">
        <v>26</v>
      </c>
      <c r="F8" s="3" t="s">
        <v>27</v>
      </c>
      <c r="G8" s="3"/>
      <c r="H8" s="29" t="s">
        <v>28</v>
      </c>
      <c r="I8" s="35">
        <v>1</v>
      </c>
      <c r="J8" t="s">
        <v>29</v>
      </c>
      <c r="K8" s="12" t="s">
        <v>20</v>
      </c>
      <c r="L8" s="12" t="s">
        <v>30</v>
      </c>
      <c r="N8" s="33">
        <v>1</v>
      </c>
      <c r="O8" s="11" t="s">
        <v>31</v>
      </c>
      <c r="Q8" s="106" t="s">
        <v>8</v>
      </c>
    </row>
    <row r="9" spans="2:17" ht="15">
      <c r="B9" s="7" t="s">
        <v>32</v>
      </c>
      <c r="C9" s="2">
        <v>1</v>
      </c>
      <c r="D9" s="40">
        <v>-9</v>
      </c>
      <c r="E9" s="89">
        <f>IF($D$6="Manure",D9,IF($F$21&gt;1,MAX(D20,f_Tmin),MAX(D20-f_T2damping,f_Tmin)))</f>
        <v>1</v>
      </c>
      <c r="F9" s="41" t="s">
        <v>33</v>
      </c>
      <c r="G9" s="3"/>
      <c r="H9" s="29"/>
      <c r="K9" s="12"/>
      <c r="L9" s="12" t="s">
        <v>34</v>
      </c>
      <c r="N9" s="3"/>
      <c r="O9" s="9"/>
      <c r="P9" s="3"/>
      <c r="Q9" s="107" t="s">
        <v>9</v>
      </c>
    </row>
    <row r="10" spans="2:17">
      <c r="B10" s="7" t="s">
        <v>35</v>
      </c>
      <c r="C10" s="2">
        <v>2</v>
      </c>
      <c r="D10" s="42">
        <v>-7.7</v>
      </c>
      <c r="E10" s="90">
        <f t="shared" ref="E10:E20" si="0">IF($D$6="Manure",D10,IF($F$21&gt;1,MAX(D9,f_Tmin),MAX(D9-f_T2damping,f_Tmin)))</f>
        <v>1</v>
      </c>
      <c r="F10" s="44" t="s">
        <v>33</v>
      </c>
      <c r="G10" s="3"/>
      <c r="H10" s="30" t="s">
        <v>36</v>
      </c>
      <c r="I10" s="34" t="s">
        <v>37</v>
      </c>
      <c r="K10" s="12" t="s">
        <v>38</v>
      </c>
      <c r="L10" s="12"/>
      <c r="M10" s="3"/>
      <c r="N10" s="3"/>
      <c r="O10" s="9"/>
      <c r="P10" s="3"/>
      <c r="Q10" s="104"/>
    </row>
    <row r="11" spans="2:17" ht="15">
      <c r="B11" s="7" t="s">
        <v>39</v>
      </c>
      <c r="C11" s="2">
        <v>3</v>
      </c>
      <c r="D11" s="42">
        <v>-2.2999999999999998</v>
      </c>
      <c r="E11" s="90">
        <f t="shared" si="0"/>
        <v>1</v>
      </c>
      <c r="F11" s="44" t="s">
        <v>33</v>
      </c>
      <c r="G11" s="3"/>
      <c r="H11" s="31" t="s">
        <v>40</v>
      </c>
      <c r="I11" s="27">
        <v>308.16000000000003</v>
      </c>
      <c r="J11" t="s">
        <v>41</v>
      </c>
      <c r="K11" s="12" t="s">
        <v>42</v>
      </c>
      <c r="L11" s="12"/>
      <c r="M11" s="3"/>
      <c r="N11" s="3">
        <v>308.16000000000003</v>
      </c>
      <c r="O11" s="9" t="s">
        <v>43</v>
      </c>
      <c r="P11" s="3"/>
      <c r="Q11" s="105" t="s">
        <v>44</v>
      </c>
    </row>
    <row r="12" spans="2:17" ht="15">
      <c r="B12" s="7" t="s">
        <v>45</v>
      </c>
      <c r="C12" s="2">
        <v>4</v>
      </c>
      <c r="D12" s="42">
        <v>4.7</v>
      </c>
      <c r="E12" s="90">
        <f t="shared" si="0"/>
        <v>1</v>
      </c>
      <c r="F12" s="44" t="s">
        <v>33</v>
      </c>
      <c r="G12" s="3"/>
      <c r="H12" s="31" t="s">
        <v>46</v>
      </c>
      <c r="I12" s="97" t="s">
        <v>47</v>
      </c>
      <c r="J12" t="s">
        <v>48</v>
      </c>
      <c r="K12" s="12" t="s">
        <v>20</v>
      </c>
      <c r="L12" s="12" t="s">
        <v>49</v>
      </c>
      <c r="M12" s="3"/>
      <c r="N12" s="3" t="s">
        <v>22</v>
      </c>
      <c r="O12" s="9" t="s">
        <v>22</v>
      </c>
      <c r="P12" s="3"/>
      <c r="Q12" s="106" t="s">
        <v>50</v>
      </c>
    </row>
    <row r="13" spans="2:17" ht="15.75" thickBot="1">
      <c r="B13" s="7" t="s">
        <v>51</v>
      </c>
      <c r="C13" s="2">
        <v>5</v>
      </c>
      <c r="D13" s="42">
        <v>10.7</v>
      </c>
      <c r="E13" s="90">
        <f>IF($D$6="Manure",D13,IF($F$21&gt;1,MAX(D12,f_Tmin),MAX(D12-f_T2damping,f_Tmin)))</f>
        <v>4.7</v>
      </c>
      <c r="F13" s="44" t="s">
        <v>50</v>
      </c>
      <c r="G13" s="3"/>
      <c r="H13" s="31" t="s">
        <v>52</v>
      </c>
      <c r="I13" s="27">
        <v>19347</v>
      </c>
      <c r="J13" t="s">
        <v>53</v>
      </c>
      <c r="K13" s="12" t="s">
        <v>54</v>
      </c>
      <c r="L13" s="12" t="s">
        <v>55</v>
      </c>
      <c r="M13" s="3"/>
      <c r="N13" s="3">
        <v>19347</v>
      </c>
      <c r="O13" s="9" t="s">
        <v>56</v>
      </c>
      <c r="P13" s="3"/>
      <c r="Q13" s="108" t="s">
        <v>33</v>
      </c>
    </row>
    <row r="14" spans="2:17" ht="15">
      <c r="B14" s="7" t="s">
        <v>57</v>
      </c>
      <c r="C14" s="2">
        <v>6</v>
      </c>
      <c r="D14" s="42">
        <v>15.2</v>
      </c>
      <c r="E14" s="90">
        <f t="shared" si="0"/>
        <v>10.7</v>
      </c>
      <c r="F14" s="44" t="s">
        <v>33</v>
      </c>
      <c r="G14" s="3"/>
      <c r="H14" s="31" t="s">
        <v>58</v>
      </c>
      <c r="I14" s="27">
        <v>1.9870000000000001</v>
      </c>
      <c r="J14" t="s">
        <v>59</v>
      </c>
      <c r="K14" s="12" t="s">
        <v>60</v>
      </c>
      <c r="L14" s="12"/>
      <c r="M14" s="3"/>
      <c r="N14" s="3">
        <v>1.9870000000000001</v>
      </c>
      <c r="O14" s="9" t="s">
        <v>61</v>
      </c>
      <c r="P14" s="3"/>
    </row>
    <row r="15" spans="2:17" ht="15">
      <c r="B15" s="7" t="s">
        <v>62</v>
      </c>
      <c r="C15" s="2">
        <v>7</v>
      </c>
      <c r="D15" s="42">
        <v>17.7</v>
      </c>
      <c r="E15" s="90">
        <f t="shared" si="0"/>
        <v>15.2</v>
      </c>
      <c r="F15" s="44" t="s">
        <v>63</v>
      </c>
      <c r="G15" s="3"/>
      <c r="H15" s="31" t="s">
        <v>64</v>
      </c>
      <c r="I15" s="48">
        <v>1</v>
      </c>
      <c r="J15" t="s">
        <v>65</v>
      </c>
      <c r="K15" s="12" t="s">
        <v>66</v>
      </c>
      <c r="L15" s="12" t="s">
        <v>67</v>
      </c>
      <c r="M15" s="3"/>
      <c r="N15" s="16">
        <v>1</v>
      </c>
      <c r="O15" s="13" t="s">
        <v>68</v>
      </c>
      <c r="P15" s="3"/>
    </row>
    <row r="16" spans="2:17" ht="15">
      <c r="B16" s="7" t="s">
        <v>69</v>
      </c>
      <c r="C16" s="2">
        <v>8</v>
      </c>
      <c r="D16" s="42">
        <v>16.7</v>
      </c>
      <c r="E16" s="90">
        <f t="shared" si="0"/>
        <v>17.7</v>
      </c>
      <c r="F16" s="44" t="s">
        <v>33</v>
      </c>
      <c r="G16" s="3"/>
      <c r="H16" s="31" t="s">
        <v>70</v>
      </c>
      <c r="I16" s="48">
        <v>3</v>
      </c>
      <c r="J16" t="s">
        <v>65</v>
      </c>
      <c r="K16" s="12" t="s">
        <v>71</v>
      </c>
      <c r="L16" s="12" t="s">
        <v>72</v>
      </c>
      <c r="M16" s="3"/>
      <c r="N16" s="3"/>
      <c r="O16" s="9" t="s">
        <v>73</v>
      </c>
      <c r="P16" s="3"/>
    </row>
    <row r="17" spans="2:18" ht="15">
      <c r="B17" s="7" t="s">
        <v>74</v>
      </c>
      <c r="C17" s="2">
        <v>9</v>
      </c>
      <c r="D17" s="42">
        <v>12</v>
      </c>
      <c r="E17" s="90">
        <f t="shared" si="0"/>
        <v>16.7</v>
      </c>
      <c r="F17" s="44" t="s">
        <v>33</v>
      </c>
      <c r="G17" s="3"/>
      <c r="H17" s="30" t="s">
        <v>75</v>
      </c>
      <c r="I17" s="25">
        <v>0.24</v>
      </c>
      <c r="J17" t="s">
        <v>76</v>
      </c>
      <c r="K17" s="12" t="s">
        <v>20</v>
      </c>
      <c r="L17" s="12" t="s">
        <v>77</v>
      </c>
      <c r="M17" s="3"/>
      <c r="N17" s="3" t="s">
        <v>22</v>
      </c>
      <c r="O17" s="9" t="s">
        <v>78</v>
      </c>
      <c r="P17" s="3"/>
    </row>
    <row r="18" spans="2:18" ht="15">
      <c r="B18" s="7" t="s">
        <v>79</v>
      </c>
      <c r="C18" s="2">
        <v>10</v>
      </c>
      <c r="D18" s="42">
        <v>5.8</v>
      </c>
      <c r="E18" s="90">
        <f t="shared" si="0"/>
        <v>12</v>
      </c>
      <c r="F18" s="44" t="s">
        <v>33</v>
      </c>
      <c r="G18" s="3"/>
      <c r="H18" s="30" t="s">
        <v>80</v>
      </c>
      <c r="I18" s="26">
        <v>1</v>
      </c>
      <c r="J18" t="s">
        <v>81</v>
      </c>
      <c r="K18" s="12" t="s">
        <v>82</v>
      </c>
      <c r="L18" s="12"/>
      <c r="M18" s="3"/>
      <c r="N18" s="16">
        <v>1</v>
      </c>
      <c r="O18" s="13"/>
      <c r="P18" s="3"/>
    </row>
    <row r="19" spans="2:18" ht="15">
      <c r="B19" s="7" t="s">
        <v>83</v>
      </c>
      <c r="C19" s="2">
        <v>11</v>
      </c>
      <c r="D19" s="42">
        <v>-1.4</v>
      </c>
      <c r="E19" s="90">
        <f t="shared" si="0"/>
        <v>5.8</v>
      </c>
      <c r="F19" s="44" t="s">
        <v>50</v>
      </c>
      <c r="G19" s="3"/>
      <c r="H19" s="30"/>
      <c r="K19" s="12"/>
      <c r="L19" s="12"/>
      <c r="O19" s="14"/>
      <c r="P19" s="3"/>
    </row>
    <row r="20" spans="2:18" ht="15">
      <c r="B20" s="15" t="s">
        <v>84</v>
      </c>
      <c r="C20" s="1">
        <v>12</v>
      </c>
      <c r="D20" s="43">
        <v>-6.7</v>
      </c>
      <c r="E20" s="91">
        <f t="shared" si="0"/>
        <v>1</v>
      </c>
      <c r="F20" s="45" t="s">
        <v>33</v>
      </c>
      <c r="G20" s="3"/>
      <c r="H20" s="30" t="s">
        <v>85</v>
      </c>
      <c r="I20" s="49">
        <v>0.95</v>
      </c>
      <c r="J20" t="s">
        <v>29</v>
      </c>
      <c r="K20" s="12" t="s">
        <v>86</v>
      </c>
      <c r="L20" s="12" t="s">
        <v>87</v>
      </c>
      <c r="M20" s="3"/>
      <c r="N20" s="33">
        <v>0.95</v>
      </c>
      <c r="O20" s="11" t="s">
        <v>88</v>
      </c>
      <c r="P20" s="3"/>
    </row>
    <row r="21" spans="2:18" ht="15">
      <c r="B21" s="7"/>
      <c r="C21" s="36"/>
      <c r="D21" s="68">
        <f>AVERAGE(D9:D20)</f>
        <v>4.6416666666666666</v>
      </c>
      <c r="E21" s="68">
        <f>AVERAGE(E9:E20)</f>
        <v>7.3166666666666664</v>
      </c>
      <c r="F21" s="98">
        <f>COUNTIF(F9:F20,"Y")</f>
        <v>2</v>
      </c>
      <c r="H21" s="30" t="s">
        <v>89</v>
      </c>
      <c r="I21" s="27">
        <v>0.66200000000000003</v>
      </c>
      <c r="J21" t="s">
        <v>90</v>
      </c>
      <c r="K21" s="12" t="s">
        <v>91</v>
      </c>
      <c r="L21" s="12"/>
      <c r="M21" s="3"/>
      <c r="N21" s="3">
        <v>0.66200000000000003</v>
      </c>
      <c r="O21" s="9" t="s">
        <v>92</v>
      </c>
      <c r="P21" s="3"/>
    </row>
    <row r="22" spans="2:18" ht="15.75" thickBot="1">
      <c r="B22" s="17"/>
      <c r="C22" s="18"/>
      <c r="D22" s="99" t="s">
        <v>93</v>
      </c>
      <c r="E22" s="99" t="s">
        <v>93</v>
      </c>
      <c r="F22" s="99" t="s">
        <v>94</v>
      </c>
      <c r="G22" s="18"/>
      <c r="H22" s="32"/>
      <c r="I22" s="18"/>
      <c r="J22" s="19"/>
      <c r="K22" s="19"/>
      <c r="L22" s="57"/>
      <c r="M22" s="19"/>
      <c r="N22" s="19"/>
      <c r="O22" s="20"/>
    </row>
    <row r="23" spans="2:18" ht="15.75" thickBot="1"/>
    <row r="24" spans="2:18" ht="21">
      <c r="C24" s="21" t="s">
        <v>95</v>
      </c>
      <c r="D24" s="37" t="s">
        <v>96</v>
      </c>
      <c r="E24" s="22"/>
      <c r="F24" s="22"/>
      <c r="G24" s="22"/>
      <c r="H24" s="22"/>
      <c r="I24" s="22"/>
      <c r="J24" s="22"/>
      <c r="K24" s="22"/>
      <c r="L24" s="22"/>
      <c r="M24" s="23"/>
    </row>
    <row r="25" spans="2:18" ht="15">
      <c r="C25" s="61"/>
      <c r="D25" s="24"/>
      <c r="E25" s="24"/>
      <c r="F25" s="24"/>
      <c r="G25" s="24"/>
      <c r="H25" s="24"/>
      <c r="I25" s="24"/>
      <c r="J25" s="24"/>
      <c r="K25" s="24"/>
      <c r="L25" s="24"/>
      <c r="M25" s="81"/>
      <c r="Q25" s="5"/>
    </row>
    <row r="26" spans="2:18" ht="18">
      <c r="C26" s="82"/>
      <c r="D26" s="75" t="s">
        <v>97</v>
      </c>
      <c r="E26" s="83">
        <f>G74</f>
        <v>1200</v>
      </c>
      <c r="F26" s="84"/>
      <c r="G26" s="24"/>
      <c r="H26" s="75" t="s">
        <v>98</v>
      </c>
      <c r="I26" s="83">
        <f>L74</f>
        <v>248.79294749105824</v>
      </c>
      <c r="J26" s="109" t="s">
        <v>99</v>
      </c>
      <c r="K26" s="85">
        <f>I27</f>
        <v>59.710307397853974</v>
      </c>
      <c r="L26" s="111" t="s">
        <v>100</v>
      </c>
      <c r="M26" s="112">
        <f>K26/K27</f>
        <v>0.20732745624254853</v>
      </c>
      <c r="N26" s="55"/>
    </row>
    <row r="27" spans="2:18" ht="18">
      <c r="C27" s="82"/>
      <c r="D27" s="75" t="s">
        <v>101</v>
      </c>
      <c r="E27" s="83">
        <f>H74</f>
        <v>1200</v>
      </c>
      <c r="F27" s="84"/>
      <c r="G27" s="24"/>
      <c r="H27" s="75" t="s">
        <v>102</v>
      </c>
      <c r="I27" s="83">
        <f>M74</f>
        <v>59.710307397853974</v>
      </c>
      <c r="J27" s="110"/>
      <c r="K27" s="86">
        <f>E28</f>
        <v>288</v>
      </c>
      <c r="L27" s="110"/>
      <c r="M27" s="113"/>
      <c r="N27" s="56"/>
    </row>
    <row r="28" spans="2:18">
      <c r="C28" s="82"/>
      <c r="D28" s="75" t="s">
        <v>103</v>
      </c>
      <c r="E28" s="83">
        <f>E27*B0</f>
        <v>288</v>
      </c>
      <c r="F28" s="87"/>
      <c r="G28" s="24"/>
      <c r="H28" s="24"/>
      <c r="I28" s="24"/>
      <c r="J28" s="24"/>
      <c r="K28" s="24"/>
      <c r="L28" s="24"/>
      <c r="M28" s="81"/>
    </row>
    <row r="29" spans="2:18" ht="15" thickBot="1">
      <c r="C29" s="62"/>
      <c r="D29" s="76"/>
      <c r="E29" s="76"/>
      <c r="F29" s="76"/>
      <c r="G29" s="76"/>
      <c r="H29" s="76"/>
      <c r="I29" s="76"/>
      <c r="J29" s="76"/>
      <c r="K29" s="76"/>
      <c r="L29" s="76"/>
      <c r="M29" s="88"/>
    </row>
    <row r="31" spans="2:18" ht="15" thickBot="1"/>
    <row r="32" spans="2:18" ht="21">
      <c r="B32" s="21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53"/>
      <c r="N32" s="22"/>
      <c r="O32" s="52" t="s">
        <v>105</v>
      </c>
      <c r="P32" s="22"/>
      <c r="Q32" s="22"/>
      <c r="R32" s="23"/>
    </row>
    <row r="33" spans="2:19">
      <c r="B33" s="61"/>
      <c r="C33" s="61"/>
      <c r="D33" s="63" t="s">
        <v>106</v>
      </c>
      <c r="E33" s="63" t="s">
        <v>107</v>
      </c>
      <c r="F33" s="63" t="s">
        <v>108</v>
      </c>
      <c r="G33" s="93" t="s">
        <v>109</v>
      </c>
      <c r="H33" s="93" t="s">
        <v>110</v>
      </c>
      <c r="I33" s="64" t="s">
        <v>111</v>
      </c>
      <c r="J33" s="75" t="s">
        <v>112</v>
      </c>
      <c r="K33" s="75" t="s">
        <v>113</v>
      </c>
      <c r="L33" s="75" t="s">
        <v>114</v>
      </c>
      <c r="M33" s="95" t="s">
        <v>115</v>
      </c>
      <c r="N33" s="2"/>
      <c r="S33" s="14"/>
    </row>
    <row r="34" spans="2:19">
      <c r="B34" s="65" t="s">
        <v>116</v>
      </c>
      <c r="C34" s="65" t="s">
        <v>25</v>
      </c>
      <c r="D34" s="66" t="s">
        <v>117</v>
      </c>
      <c r="E34" s="66" t="s">
        <v>118</v>
      </c>
      <c r="F34" s="67" t="s">
        <v>119</v>
      </c>
      <c r="G34" s="94" t="s">
        <v>120</v>
      </c>
      <c r="H34" s="94" t="s">
        <v>120</v>
      </c>
      <c r="I34" s="67" t="s">
        <v>121</v>
      </c>
      <c r="J34" s="94" t="s">
        <v>122</v>
      </c>
      <c r="K34" s="94" t="s">
        <v>122</v>
      </c>
      <c r="L34" s="94" t="s">
        <v>122</v>
      </c>
      <c r="M34" s="96" t="s">
        <v>123</v>
      </c>
      <c r="N34" s="54"/>
      <c r="S34" s="14"/>
    </row>
    <row r="35" spans="2:19">
      <c r="B35" s="58">
        <v>1</v>
      </c>
      <c r="C35" s="58">
        <v>1</v>
      </c>
      <c r="D35" s="68">
        <f t="array" ref="D35:D46">ManureTemperature</f>
        <v>1</v>
      </c>
      <c r="E35" s="69">
        <f>CONVERT(D35,"C","K")</f>
        <v>274.14999999999998</v>
      </c>
      <c r="F35" s="70">
        <f t="shared" ref="F35:F70" si="1">EXP((f_Ea*(Tav_K-f_T1))/(f_R*Tav_K*f_T1))</f>
        <v>1.9846143044148706E-2</v>
      </c>
      <c r="G35" s="71">
        <f t="shared" ref="G35:G70" si="2">VS_PROD_YR/12</f>
        <v>100</v>
      </c>
      <c r="H35" s="71">
        <f t="shared" ref="H35:H70" si="3">VSexcreted*VS_PCT_LIQUID</f>
        <v>100</v>
      </c>
      <c r="I35" s="69" t="str">
        <f t="array" ref="I35:I46">ManureRemoved</f>
        <v>N</v>
      </c>
      <c r="J35" s="92" t="s">
        <v>22</v>
      </c>
      <c r="K35" s="71">
        <f>H35</f>
        <v>100</v>
      </c>
      <c r="L35" s="71">
        <f t="shared" ref="L35:L70" si="4">f*VSavailable</f>
        <v>1.9846143044148705</v>
      </c>
      <c r="M35" s="72">
        <f t="shared" ref="M35:M70" si="5">VSconsumed*B0</f>
        <v>0.47630743305956891</v>
      </c>
      <c r="N35" s="50"/>
      <c r="S35" s="14"/>
    </row>
    <row r="36" spans="2:19">
      <c r="B36" s="58">
        <v>1</v>
      </c>
      <c r="C36" s="58">
        <v>2</v>
      </c>
      <c r="D36" s="68">
        <v>1</v>
      </c>
      <c r="E36" s="69">
        <f t="shared" ref="E36:E70" si="6">CONVERT(D36,"C","K")</f>
        <v>274.14999999999998</v>
      </c>
      <c r="F36" s="70">
        <f t="shared" si="1"/>
        <v>1.9846143044148706E-2</v>
      </c>
      <c r="G36" s="71">
        <f t="shared" si="2"/>
        <v>100</v>
      </c>
      <c r="H36" s="71">
        <f t="shared" si="3"/>
        <v>100</v>
      </c>
      <c r="I36" s="69" t="str">
        <v>N</v>
      </c>
      <c r="J36" s="71">
        <f t="shared" ref="J36:J70" si="7">IF(Emptying="N",0,(INDEX(VSavailable,Month-1)-INDEX(VSconsumed,Month-1))*EMPTY_EFFICIENCY)</f>
        <v>0</v>
      </c>
      <c r="K36" s="71">
        <f t="shared" ref="K36:K70" si="8">VSload+INDEX(VSavailable,Month-1)-INDEX(VSconsumed,Month-1)-VSemptied</f>
        <v>198.01538569558514</v>
      </c>
      <c r="L36" s="71">
        <f t="shared" si="4"/>
        <v>3.9298416694568603</v>
      </c>
      <c r="M36" s="72">
        <f t="shared" si="5"/>
        <v>0.94316200066964639</v>
      </c>
      <c r="N36" s="50"/>
      <c r="S36" s="14"/>
    </row>
    <row r="37" spans="2:19">
      <c r="B37" s="58">
        <v>1</v>
      </c>
      <c r="C37" s="58">
        <v>3</v>
      </c>
      <c r="D37" s="68">
        <v>1</v>
      </c>
      <c r="E37" s="69">
        <f t="shared" si="6"/>
        <v>274.14999999999998</v>
      </c>
      <c r="F37" s="70">
        <f t="shared" si="1"/>
        <v>1.9846143044148706E-2</v>
      </c>
      <c r="G37" s="71">
        <f t="shared" si="2"/>
        <v>100</v>
      </c>
      <c r="H37" s="71">
        <f t="shared" si="3"/>
        <v>100</v>
      </c>
      <c r="I37" s="69" t="str">
        <v>N</v>
      </c>
      <c r="J37" s="71">
        <f t="shared" si="7"/>
        <v>0</v>
      </c>
      <c r="K37" s="71">
        <f t="shared" si="8"/>
        <v>294.08554402612828</v>
      </c>
      <c r="L37" s="71">
        <f t="shared" si="4"/>
        <v>5.8364637739588332</v>
      </c>
      <c r="M37" s="72">
        <f t="shared" si="5"/>
        <v>1.40075130575012</v>
      </c>
      <c r="N37" s="50"/>
      <c r="S37" s="14"/>
    </row>
    <row r="38" spans="2:19">
      <c r="B38" s="58">
        <v>1</v>
      </c>
      <c r="C38" s="58">
        <v>4</v>
      </c>
      <c r="D38" s="68">
        <v>1</v>
      </c>
      <c r="E38" s="69">
        <f t="shared" si="6"/>
        <v>274.14999999999998</v>
      </c>
      <c r="F38" s="70">
        <f t="shared" si="1"/>
        <v>1.9846143044148706E-2</v>
      </c>
      <c r="G38" s="71">
        <f t="shared" si="2"/>
        <v>100</v>
      </c>
      <c r="H38" s="71">
        <f t="shared" si="3"/>
        <v>100</v>
      </c>
      <c r="I38" s="69" t="str">
        <v>N</v>
      </c>
      <c r="J38" s="71">
        <f t="shared" si="7"/>
        <v>0</v>
      </c>
      <c r="K38" s="71">
        <f t="shared" si="8"/>
        <v>388.24908025216945</v>
      </c>
      <c r="L38" s="71">
        <f t="shared" si="4"/>
        <v>7.7052467834437257</v>
      </c>
      <c r="M38" s="72">
        <f t="shared" si="5"/>
        <v>1.8492592280264941</v>
      </c>
      <c r="N38" s="50"/>
      <c r="S38" s="14"/>
    </row>
    <row r="39" spans="2:19">
      <c r="B39" s="58">
        <v>1</v>
      </c>
      <c r="C39" s="58">
        <v>5</v>
      </c>
      <c r="D39" s="68">
        <v>4.7</v>
      </c>
      <c r="E39" s="69">
        <f t="shared" si="6"/>
        <v>277.84999999999997</v>
      </c>
      <c r="F39" s="70">
        <f>EXP((f_Ea*(Tav_K-f_T1))/(f_R*Tav_K*f_T1))</f>
        <v>3.184765050365819E-2</v>
      </c>
      <c r="G39" s="71">
        <f t="shared" si="2"/>
        <v>100</v>
      </c>
      <c r="H39" s="71">
        <f t="shared" si="3"/>
        <v>100</v>
      </c>
      <c r="I39" s="69" t="str">
        <v>Y</v>
      </c>
      <c r="J39" s="71">
        <f t="shared" si="7"/>
        <v>361.51664179528944</v>
      </c>
      <c r="K39" s="71">
        <f t="shared" si="8"/>
        <v>119.02719167343628</v>
      </c>
      <c r="L39" s="71">
        <f t="shared" si="4"/>
        <v>3.7907364008475328</v>
      </c>
      <c r="M39" s="72">
        <f t="shared" si="5"/>
        <v>0.90977673620340782</v>
      </c>
      <c r="N39" s="50"/>
      <c r="S39" s="14"/>
    </row>
    <row r="40" spans="2:19">
      <c r="B40" s="58">
        <v>1</v>
      </c>
      <c r="C40" s="58">
        <v>6</v>
      </c>
      <c r="D40" s="68">
        <v>10.7</v>
      </c>
      <c r="E40" s="69">
        <f t="shared" si="6"/>
        <v>283.84999999999997</v>
      </c>
      <c r="F40" s="70">
        <f t="shared" si="1"/>
        <v>6.6800254017721952E-2</v>
      </c>
      <c r="G40" s="71">
        <f t="shared" si="2"/>
        <v>100</v>
      </c>
      <c r="H40" s="71">
        <f t="shared" si="3"/>
        <v>100</v>
      </c>
      <c r="I40" s="69" t="str">
        <v>N</v>
      </c>
      <c r="J40" s="71">
        <f t="shared" si="7"/>
        <v>0</v>
      </c>
      <c r="K40" s="71">
        <f t="shared" si="8"/>
        <v>215.23645527258876</v>
      </c>
      <c r="L40" s="71">
        <f t="shared" si="4"/>
        <v>14.377849886082979</v>
      </c>
      <c r="M40" s="72">
        <f t="shared" si="5"/>
        <v>3.450683972659915</v>
      </c>
      <c r="N40" s="50"/>
      <c r="S40" s="14"/>
    </row>
    <row r="41" spans="2:19">
      <c r="B41" s="58">
        <v>1</v>
      </c>
      <c r="C41" s="58">
        <v>7</v>
      </c>
      <c r="D41" s="68">
        <v>15.2</v>
      </c>
      <c r="E41" s="69">
        <f t="shared" si="6"/>
        <v>288.34999999999997</v>
      </c>
      <c r="F41" s="70">
        <f t="shared" si="1"/>
        <v>0.11409531814978603</v>
      </c>
      <c r="G41" s="71">
        <f t="shared" si="2"/>
        <v>100</v>
      </c>
      <c r="H41" s="71">
        <f t="shared" si="3"/>
        <v>100</v>
      </c>
      <c r="I41" s="69" t="str">
        <v>n</v>
      </c>
      <c r="J41" s="71">
        <f t="shared" si="7"/>
        <v>0</v>
      </c>
      <c r="K41" s="71">
        <f t="shared" si="8"/>
        <v>300.85860538650576</v>
      </c>
      <c r="L41" s="71">
        <f t="shared" si="4"/>
        <v>34.326558299674303</v>
      </c>
      <c r="M41" s="72">
        <f t="shared" si="5"/>
        <v>8.2383739919218328</v>
      </c>
      <c r="N41" s="50"/>
      <c r="S41" s="14"/>
    </row>
    <row r="42" spans="2:19">
      <c r="B42" s="58">
        <v>1</v>
      </c>
      <c r="C42" s="58">
        <v>8</v>
      </c>
      <c r="D42" s="68">
        <v>17.7</v>
      </c>
      <c r="E42" s="69">
        <f t="shared" si="6"/>
        <v>290.84999999999997</v>
      </c>
      <c r="F42" s="70">
        <f t="shared" si="1"/>
        <v>0.1525176857384215</v>
      </c>
      <c r="G42" s="71">
        <f t="shared" si="2"/>
        <v>100</v>
      </c>
      <c r="H42" s="71">
        <f t="shared" si="3"/>
        <v>100</v>
      </c>
      <c r="I42" s="69" t="str">
        <v>N</v>
      </c>
      <c r="J42" s="71">
        <f t="shared" si="7"/>
        <v>0</v>
      </c>
      <c r="K42" s="71">
        <f t="shared" si="8"/>
        <v>366.53204708683143</v>
      </c>
      <c r="L42" s="71">
        <f t="shared" si="4"/>
        <v>55.902619570649669</v>
      </c>
      <c r="M42" s="72">
        <f t="shared" si="5"/>
        <v>13.41662869695592</v>
      </c>
      <c r="N42" s="50"/>
      <c r="S42" s="14"/>
    </row>
    <row r="43" spans="2:19">
      <c r="B43" s="58">
        <v>1</v>
      </c>
      <c r="C43" s="58">
        <v>9</v>
      </c>
      <c r="D43" s="68">
        <v>16.7</v>
      </c>
      <c r="E43" s="69">
        <f t="shared" si="6"/>
        <v>289.84999999999997</v>
      </c>
      <c r="F43" s="70">
        <f t="shared" si="1"/>
        <v>0.13588145436301674</v>
      </c>
      <c r="G43" s="71">
        <f t="shared" si="2"/>
        <v>100</v>
      </c>
      <c r="H43" s="71">
        <f t="shared" si="3"/>
        <v>100</v>
      </c>
      <c r="I43" s="69" t="str">
        <v>N</v>
      </c>
      <c r="J43" s="71">
        <f t="shared" si="7"/>
        <v>0</v>
      </c>
      <c r="K43" s="71">
        <f t="shared" si="8"/>
        <v>410.62942751618175</v>
      </c>
      <c r="L43" s="71">
        <f t="shared" si="4"/>
        <v>55.796923815151743</v>
      </c>
      <c r="M43" s="72">
        <f t="shared" si="5"/>
        <v>13.391261715636418</v>
      </c>
      <c r="N43" s="50"/>
      <c r="S43" s="14"/>
    </row>
    <row r="44" spans="2:19">
      <c r="B44" s="58">
        <v>1</v>
      </c>
      <c r="C44" s="58">
        <v>10</v>
      </c>
      <c r="D44" s="68">
        <v>12</v>
      </c>
      <c r="E44" s="69">
        <f t="shared" si="6"/>
        <v>285.14999999999998</v>
      </c>
      <c r="F44" s="70">
        <f t="shared" si="1"/>
        <v>7.8108002205014626E-2</v>
      </c>
      <c r="G44" s="71">
        <f t="shared" si="2"/>
        <v>100</v>
      </c>
      <c r="H44" s="71">
        <f t="shared" si="3"/>
        <v>100</v>
      </c>
      <c r="I44" s="69" t="str">
        <v>N</v>
      </c>
      <c r="J44" s="71">
        <f t="shared" si="7"/>
        <v>0</v>
      </c>
      <c r="K44" s="71">
        <f t="shared" si="8"/>
        <v>454.83250370103002</v>
      </c>
      <c r="L44" s="71">
        <f t="shared" si="4"/>
        <v>35.526058201992377</v>
      </c>
      <c r="M44" s="72">
        <f t="shared" si="5"/>
        <v>8.5262539684781711</v>
      </c>
      <c r="N44" s="50"/>
      <c r="S44" s="14"/>
    </row>
    <row r="45" spans="2:19">
      <c r="B45" s="58">
        <v>1</v>
      </c>
      <c r="C45" s="58">
        <v>11</v>
      </c>
      <c r="D45" s="68">
        <v>5.8</v>
      </c>
      <c r="E45" s="69">
        <f t="shared" si="6"/>
        <v>278.95</v>
      </c>
      <c r="F45" s="70">
        <f t="shared" si="1"/>
        <v>3.6567213824340465E-2</v>
      </c>
      <c r="G45" s="71">
        <f t="shared" si="2"/>
        <v>100</v>
      </c>
      <c r="H45" s="71">
        <f t="shared" si="3"/>
        <v>100</v>
      </c>
      <c r="I45" s="69" t="str">
        <v>Y</v>
      </c>
      <c r="J45" s="71">
        <f t="shared" si="7"/>
        <v>398.34112322408572</v>
      </c>
      <c r="K45" s="71">
        <f t="shared" si="8"/>
        <v>120.96532227495192</v>
      </c>
      <c r="L45" s="71">
        <f t="shared" si="4"/>
        <v>4.4233648049584211</v>
      </c>
      <c r="M45" s="72">
        <f t="shared" si="5"/>
        <v>1.0616075531900211</v>
      </c>
      <c r="N45" s="50"/>
      <c r="S45" s="14"/>
    </row>
    <row r="46" spans="2:19">
      <c r="B46" s="59">
        <v>1</v>
      </c>
      <c r="C46" s="59">
        <v>12</v>
      </c>
      <c r="D46" s="68">
        <v>1</v>
      </c>
      <c r="E46" s="73">
        <f t="shared" si="6"/>
        <v>274.14999999999998</v>
      </c>
      <c r="F46" s="70">
        <f t="shared" si="1"/>
        <v>1.9846143044148706E-2</v>
      </c>
      <c r="G46" s="74">
        <f t="shared" si="2"/>
        <v>100</v>
      </c>
      <c r="H46" s="71">
        <f t="shared" si="3"/>
        <v>100</v>
      </c>
      <c r="I46" s="73" t="str">
        <v>N</v>
      </c>
      <c r="J46" s="71">
        <f t="shared" si="7"/>
        <v>0</v>
      </c>
      <c r="K46" s="71">
        <f t="shared" si="8"/>
        <v>216.54195746999349</v>
      </c>
      <c r="L46" s="71">
        <f t="shared" si="4"/>
        <v>4.2975226630094561</v>
      </c>
      <c r="M46" s="72">
        <f t="shared" si="5"/>
        <v>1.0314054391222693</v>
      </c>
      <c r="N46" s="50"/>
      <c r="S46" s="14"/>
    </row>
    <row r="47" spans="2:19">
      <c r="B47" s="60">
        <v>2</v>
      </c>
      <c r="C47" s="60">
        <f>C46+1</f>
        <v>13</v>
      </c>
      <c r="D47" s="68">
        <f t="array" ref="D47:D58">ManureTemperature</f>
        <v>1</v>
      </c>
      <c r="E47" s="69">
        <f t="shared" si="6"/>
        <v>274.14999999999998</v>
      </c>
      <c r="F47" s="70">
        <f t="shared" si="1"/>
        <v>1.9846143044148706E-2</v>
      </c>
      <c r="G47" s="71">
        <f t="shared" si="2"/>
        <v>100</v>
      </c>
      <c r="H47" s="71">
        <f t="shared" si="3"/>
        <v>100</v>
      </c>
      <c r="I47" s="69" t="str">
        <f t="array" ref="I47:I58">ManureRemoved</f>
        <v>N</v>
      </c>
      <c r="J47" s="71">
        <f t="shared" si="7"/>
        <v>0</v>
      </c>
      <c r="K47" s="71">
        <f t="shared" si="8"/>
        <v>312.24443480698403</v>
      </c>
      <c r="L47" s="71">
        <f t="shared" si="4"/>
        <v>6.1968477179187698</v>
      </c>
      <c r="M47" s="72">
        <f t="shared" si="5"/>
        <v>1.4872434523005047</v>
      </c>
      <c r="N47" s="50"/>
      <c r="S47" s="14"/>
    </row>
    <row r="48" spans="2:19">
      <c r="B48" s="60">
        <v>2</v>
      </c>
      <c r="C48" s="60">
        <f t="shared" ref="C48:C70" si="9">C47+1</f>
        <v>14</v>
      </c>
      <c r="D48" s="68">
        <v>1</v>
      </c>
      <c r="E48" s="69">
        <f t="shared" si="6"/>
        <v>274.14999999999998</v>
      </c>
      <c r="F48" s="70">
        <f t="shared" si="1"/>
        <v>1.9846143044148706E-2</v>
      </c>
      <c r="G48" s="71">
        <f t="shared" si="2"/>
        <v>100</v>
      </c>
      <c r="H48" s="71">
        <f t="shared" si="3"/>
        <v>100</v>
      </c>
      <c r="I48" s="69" t="str">
        <v>N</v>
      </c>
      <c r="J48" s="71">
        <f t="shared" si="7"/>
        <v>0</v>
      </c>
      <c r="K48" s="71">
        <f t="shared" si="8"/>
        <v>406.04758708906525</v>
      </c>
      <c r="L48" s="71">
        <f t="shared" si="4"/>
        <v>8.0584784961010172</v>
      </c>
      <c r="M48" s="72">
        <f t="shared" si="5"/>
        <v>1.9340348390642441</v>
      </c>
      <c r="N48" s="50"/>
      <c r="S48" s="14"/>
    </row>
    <row r="49" spans="2:19">
      <c r="B49" s="60">
        <v>2</v>
      </c>
      <c r="C49" s="60">
        <f t="shared" si="9"/>
        <v>15</v>
      </c>
      <c r="D49" s="68">
        <v>1</v>
      </c>
      <c r="E49" s="69">
        <f t="shared" si="6"/>
        <v>274.14999999999998</v>
      </c>
      <c r="F49" s="70">
        <f t="shared" si="1"/>
        <v>1.9846143044148706E-2</v>
      </c>
      <c r="G49" s="71">
        <f t="shared" si="2"/>
        <v>100</v>
      </c>
      <c r="H49" s="71">
        <f t="shared" si="3"/>
        <v>100</v>
      </c>
      <c r="I49" s="69" t="str">
        <v>N</v>
      </c>
      <c r="J49" s="71">
        <f t="shared" si="7"/>
        <v>0</v>
      </c>
      <c r="K49" s="71">
        <f t="shared" si="8"/>
        <v>497.98910859296421</v>
      </c>
      <c r="L49" s="71">
        <f t="shared" si="4"/>
        <v>9.8831630835640709</v>
      </c>
      <c r="M49" s="72">
        <f t="shared" si="5"/>
        <v>2.371959140055377</v>
      </c>
      <c r="N49" s="50"/>
      <c r="S49" s="14"/>
    </row>
    <row r="50" spans="2:19">
      <c r="B50" s="60">
        <v>2</v>
      </c>
      <c r="C50" s="60">
        <f t="shared" si="9"/>
        <v>16</v>
      </c>
      <c r="D50" s="68">
        <v>1</v>
      </c>
      <c r="E50" s="69">
        <f t="shared" si="6"/>
        <v>274.14999999999998</v>
      </c>
      <c r="F50" s="70">
        <f t="shared" si="1"/>
        <v>1.9846143044148706E-2</v>
      </c>
      <c r="G50" s="71">
        <f t="shared" si="2"/>
        <v>100</v>
      </c>
      <c r="H50" s="71">
        <f t="shared" si="3"/>
        <v>100</v>
      </c>
      <c r="I50" s="69" t="str">
        <v>N</v>
      </c>
      <c r="J50" s="71">
        <f t="shared" si="7"/>
        <v>0</v>
      </c>
      <c r="K50" s="71">
        <f t="shared" si="8"/>
        <v>588.10594550940004</v>
      </c>
      <c r="L50" s="71">
        <f t="shared" si="4"/>
        <v>11.671634719693877</v>
      </c>
      <c r="M50" s="72">
        <f t="shared" si="5"/>
        <v>2.8011923327265302</v>
      </c>
      <c r="N50" s="50"/>
      <c r="S50" s="14"/>
    </row>
    <row r="51" spans="2:19">
      <c r="B51" s="60">
        <v>2</v>
      </c>
      <c r="C51" s="60">
        <f t="shared" si="9"/>
        <v>17</v>
      </c>
      <c r="D51" s="68">
        <v>4.7</v>
      </c>
      <c r="E51" s="69">
        <f t="shared" si="6"/>
        <v>277.84999999999997</v>
      </c>
      <c r="F51" s="70">
        <f t="shared" si="1"/>
        <v>3.184765050365819E-2</v>
      </c>
      <c r="G51" s="71">
        <f t="shared" si="2"/>
        <v>100</v>
      </c>
      <c r="H51" s="71">
        <f t="shared" si="3"/>
        <v>100</v>
      </c>
      <c r="I51" s="69" t="str">
        <v>Y</v>
      </c>
      <c r="J51" s="71">
        <f t="shared" si="7"/>
        <v>547.61259525022081</v>
      </c>
      <c r="K51" s="71">
        <f t="shared" si="8"/>
        <v>128.82171553948535</v>
      </c>
      <c r="L51" s="71">
        <f t="shared" si="4"/>
        <v>4.1026689737832029</v>
      </c>
      <c r="M51" s="72">
        <f t="shared" si="5"/>
        <v>0.98464055370796866</v>
      </c>
      <c r="N51" s="50"/>
      <c r="S51" s="14"/>
    </row>
    <row r="52" spans="2:19">
      <c r="B52" s="60">
        <v>2</v>
      </c>
      <c r="C52" s="60">
        <f t="shared" si="9"/>
        <v>18</v>
      </c>
      <c r="D52" s="68">
        <v>10.7</v>
      </c>
      <c r="E52" s="69">
        <f t="shared" si="6"/>
        <v>283.84999999999997</v>
      </c>
      <c r="F52" s="70">
        <f t="shared" si="1"/>
        <v>6.6800254017721952E-2</v>
      </c>
      <c r="G52" s="71">
        <f t="shared" si="2"/>
        <v>100</v>
      </c>
      <c r="H52" s="71">
        <f t="shared" si="3"/>
        <v>100</v>
      </c>
      <c r="I52" s="69" t="str">
        <v>N</v>
      </c>
      <c r="J52" s="71">
        <f t="shared" si="7"/>
        <v>0</v>
      </c>
      <c r="K52" s="71">
        <f t="shared" si="8"/>
        <v>224.71904656570214</v>
      </c>
      <c r="L52" s="71">
        <f t="shared" si="4"/>
        <v>15.011289393209191</v>
      </c>
      <c r="M52" s="72">
        <f t="shared" si="5"/>
        <v>3.6027094543702058</v>
      </c>
      <c r="N52" s="50"/>
      <c r="S52" s="14"/>
    </row>
    <row r="53" spans="2:19">
      <c r="B53" s="60">
        <v>2</v>
      </c>
      <c r="C53" s="60">
        <f t="shared" si="9"/>
        <v>19</v>
      </c>
      <c r="D53" s="68">
        <v>15.2</v>
      </c>
      <c r="E53" s="69">
        <f t="shared" si="6"/>
        <v>288.34999999999997</v>
      </c>
      <c r="F53" s="70">
        <f t="shared" si="1"/>
        <v>0.11409531814978603</v>
      </c>
      <c r="G53" s="71">
        <f t="shared" si="2"/>
        <v>100</v>
      </c>
      <c r="H53" s="71">
        <f t="shared" si="3"/>
        <v>100</v>
      </c>
      <c r="I53" s="69" t="str">
        <v>n</v>
      </c>
      <c r="J53" s="71">
        <f t="shared" si="7"/>
        <v>0</v>
      </c>
      <c r="K53" s="71">
        <f t="shared" si="8"/>
        <v>309.7077571724929</v>
      </c>
      <c r="L53" s="71">
        <f t="shared" si="4"/>
        <v>35.336205088052253</v>
      </c>
      <c r="M53" s="72">
        <f t="shared" si="5"/>
        <v>8.4806892211325398</v>
      </c>
      <c r="N53" s="50"/>
      <c r="S53" s="14"/>
    </row>
    <row r="54" spans="2:19">
      <c r="B54" s="60">
        <v>2</v>
      </c>
      <c r="C54" s="60">
        <f t="shared" si="9"/>
        <v>20</v>
      </c>
      <c r="D54" s="68">
        <v>17.7</v>
      </c>
      <c r="E54" s="69">
        <f t="shared" si="6"/>
        <v>290.84999999999997</v>
      </c>
      <c r="F54" s="70">
        <f t="shared" si="1"/>
        <v>0.1525176857384215</v>
      </c>
      <c r="G54" s="71">
        <f t="shared" si="2"/>
        <v>100</v>
      </c>
      <c r="H54" s="71">
        <f t="shared" si="3"/>
        <v>100</v>
      </c>
      <c r="I54" s="69" t="str">
        <v>N</v>
      </c>
      <c r="J54" s="71">
        <f t="shared" si="7"/>
        <v>0</v>
      </c>
      <c r="K54" s="71">
        <f t="shared" si="8"/>
        <v>374.37155208444062</v>
      </c>
      <c r="L54" s="71">
        <f t="shared" si="4"/>
        <v>57.098282730219815</v>
      </c>
      <c r="M54" s="72">
        <f t="shared" si="5"/>
        <v>13.703587855252755</v>
      </c>
      <c r="N54" s="50"/>
      <c r="S54" s="14"/>
    </row>
    <row r="55" spans="2:19">
      <c r="B55" s="60">
        <v>2</v>
      </c>
      <c r="C55" s="60">
        <f t="shared" si="9"/>
        <v>21</v>
      </c>
      <c r="D55" s="68">
        <v>16.7</v>
      </c>
      <c r="E55" s="69">
        <f t="shared" si="6"/>
        <v>289.84999999999997</v>
      </c>
      <c r="F55" s="70">
        <f t="shared" si="1"/>
        <v>0.13588145436301674</v>
      </c>
      <c r="G55" s="71">
        <f t="shared" si="2"/>
        <v>100</v>
      </c>
      <c r="H55" s="71">
        <f t="shared" si="3"/>
        <v>100</v>
      </c>
      <c r="I55" s="69" t="str">
        <v>N</v>
      </c>
      <c r="J55" s="71">
        <f t="shared" si="7"/>
        <v>0</v>
      </c>
      <c r="K55" s="71">
        <f t="shared" si="8"/>
        <v>417.27326935422082</v>
      </c>
      <c r="L55" s="71">
        <f t="shared" si="4"/>
        <v>56.699698706662346</v>
      </c>
      <c r="M55" s="72">
        <f t="shared" si="5"/>
        <v>13.607927689598963</v>
      </c>
      <c r="N55" s="50"/>
      <c r="S55" s="14"/>
    </row>
    <row r="56" spans="2:19">
      <c r="B56" s="60">
        <v>2</v>
      </c>
      <c r="C56" s="60">
        <f t="shared" si="9"/>
        <v>22</v>
      </c>
      <c r="D56" s="68">
        <v>12</v>
      </c>
      <c r="E56" s="69">
        <f t="shared" si="6"/>
        <v>285.14999999999998</v>
      </c>
      <c r="F56" s="70">
        <f t="shared" si="1"/>
        <v>7.8108002205014626E-2</v>
      </c>
      <c r="G56" s="71">
        <f t="shared" si="2"/>
        <v>100</v>
      </c>
      <c r="H56" s="71">
        <f t="shared" si="3"/>
        <v>100</v>
      </c>
      <c r="I56" s="69" t="str">
        <v>N</v>
      </c>
      <c r="J56" s="71">
        <f t="shared" si="7"/>
        <v>0</v>
      </c>
      <c r="K56" s="71">
        <f t="shared" si="8"/>
        <v>460.57357064755848</v>
      </c>
      <c r="L56" s="71">
        <f t="shared" si="4"/>
        <v>35.974481471710959</v>
      </c>
      <c r="M56" s="72">
        <f t="shared" si="5"/>
        <v>8.6338755532106291</v>
      </c>
      <c r="N56" s="50"/>
      <c r="S56" s="14"/>
    </row>
    <row r="57" spans="2:19">
      <c r="B57" s="60">
        <v>2</v>
      </c>
      <c r="C57" s="60">
        <f t="shared" si="9"/>
        <v>23</v>
      </c>
      <c r="D57" s="68">
        <v>5.8</v>
      </c>
      <c r="E57" s="69">
        <f t="shared" si="6"/>
        <v>278.95</v>
      </c>
      <c r="F57" s="70">
        <f t="shared" si="1"/>
        <v>3.6567213824340465E-2</v>
      </c>
      <c r="G57" s="71">
        <f t="shared" si="2"/>
        <v>100</v>
      </c>
      <c r="H57" s="71">
        <f t="shared" si="3"/>
        <v>100</v>
      </c>
      <c r="I57" s="69" t="str">
        <v>Y</v>
      </c>
      <c r="J57" s="71">
        <f t="shared" si="7"/>
        <v>403.36913471705515</v>
      </c>
      <c r="K57" s="71">
        <f t="shared" si="8"/>
        <v>121.22995445879229</v>
      </c>
      <c r="L57" s="71">
        <f t="shared" si="4"/>
        <v>4.4330416666097143</v>
      </c>
      <c r="M57" s="72">
        <f t="shared" si="5"/>
        <v>1.0639299999863314</v>
      </c>
      <c r="N57" s="50"/>
      <c r="S57" s="14"/>
    </row>
    <row r="58" spans="2:19">
      <c r="B58" s="60">
        <v>2</v>
      </c>
      <c r="C58" s="60">
        <f t="shared" si="9"/>
        <v>24</v>
      </c>
      <c r="D58" s="68">
        <v>1</v>
      </c>
      <c r="E58" s="73">
        <f t="shared" si="6"/>
        <v>274.14999999999998</v>
      </c>
      <c r="F58" s="70">
        <f t="shared" si="1"/>
        <v>1.9846143044148706E-2</v>
      </c>
      <c r="G58" s="74">
        <f t="shared" si="2"/>
        <v>100</v>
      </c>
      <c r="H58" s="71">
        <f t="shared" si="3"/>
        <v>100</v>
      </c>
      <c r="I58" s="73" t="str">
        <v>N</v>
      </c>
      <c r="J58" s="71">
        <f t="shared" si="7"/>
        <v>0</v>
      </c>
      <c r="K58" s="71">
        <f t="shared" si="8"/>
        <v>216.79691279218258</v>
      </c>
      <c r="L58" s="71">
        <f t="shared" si="4"/>
        <v>4.3025825428034876</v>
      </c>
      <c r="M58" s="72">
        <f t="shared" si="5"/>
        <v>1.032619810272837</v>
      </c>
      <c r="N58" s="50"/>
      <c r="S58" s="14"/>
    </row>
    <row r="59" spans="2:19">
      <c r="B59" s="60">
        <v>3</v>
      </c>
      <c r="C59" s="60">
        <f t="shared" si="9"/>
        <v>25</v>
      </c>
      <c r="D59" s="68">
        <f t="array" ref="D59:D70">ManureTemperature</f>
        <v>1</v>
      </c>
      <c r="E59" s="69">
        <f t="shared" si="6"/>
        <v>274.14999999999998</v>
      </c>
      <c r="F59" s="70">
        <f t="shared" si="1"/>
        <v>1.9846143044148706E-2</v>
      </c>
      <c r="G59" s="71">
        <f t="shared" si="2"/>
        <v>100</v>
      </c>
      <c r="H59" s="71">
        <f t="shared" si="3"/>
        <v>100</v>
      </c>
      <c r="I59" s="69" t="str">
        <f t="array" ref="I59:I70">ManureRemoved</f>
        <v>N</v>
      </c>
      <c r="J59" s="71">
        <f t="shared" si="7"/>
        <v>0</v>
      </c>
      <c r="K59" s="71">
        <f t="shared" si="8"/>
        <v>312.49433024937912</v>
      </c>
      <c r="L59" s="71">
        <f t="shared" si="4"/>
        <v>6.201807178614624</v>
      </c>
      <c r="M59" s="72">
        <f t="shared" si="5"/>
        <v>1.4884337228675097</v>
      </c>
      <c r="N59" s="50"/>
      <c r="S59" s="14"/>
    </row>
    <row r="60" spans="2:19">
      <c r="B60" s="60">
        <v>3</v>
      </c>
      <c r="C60" s="60">
        <f t="shared" si="9"/>
        <v>26</v>
      </c>
      <c r="D60" s="68">
        <v>1</v>
      </c>
      <c r="E60" s="69">
        <f t="shared" si="6"/>
        <v>274.14999999999998</v>
      </c>
      <c r="F60" s="70">
        <f t="shared" si="1"/>
        <v>1.9846143044148706E-2</v>
      </c>
      <c r="G60" s="71">
        <f t="shared" si="2"/>
        <v>100</v>
      </c>
      <c r="H60" s="71">
        <f t="shared" si="3"/>
        <v>100</v>
      </c>
      <c r="I60" s="69" t="str">
        <v>N</v>
      </c>
      <c r="J60" s="71">
        <f t="shared" si="7"/>
        <v>0</v>
      </c>
      <c r="K60" s="71">
        <f t="shared" si="8"/>
        <v>406.2925230707645</v>
      </c>
      <c r="L60" s="71">
        <f t="shared" si="4"/>
        <v>8.0633395306304809</v>
      </c>
      <c r="M60" s="72">
        <f t="shared" si="5"/>
        <v>1.9352014873513153</v>
      </c>
      <c r="N60" s="50"/>
      <c r="S60" s="14"/>
    </row>
    <row r="61" spans="2:19">
      <c r="B61" s="60">
        <v>3</v>
      </c>
      <c r="C61" s="60">
        <f t="shared" si="9"/>
        <v>27</v>
      </c>
      <c r="D61" s="68">
        <v>1</v>
      </c>
      <c r="E61" s="69">
        <f t="shared" si="6"/>
        <v>274.14999999999998</v>
      </c>
      <c r="F61" s="70">
        <f t="shared" si="1"/>
        <v>1.9846143044148706E-2</v>
      </c>
      <c r="G61" s="71">
        <f t="shared" si="2"/>
        <v>100</v>
      </c>
      <c r="H61" s="71">
        <f t="shared" si="3"/>
        <v>100</v>
      </c>
      <c r="I61" s="69" t="str">
        <v>N</v>
      </c>
      <c r="J61" s="71">
        <f t="shared" si="7"/>
        <v>0</v>
      </c>
      <c r="K61" s="71">
        <f t="shared" si="8"/>
        <v>498.22918354013404</v>
      </c>
      <c r="L61" s="71">
        <f t="shared" si="4"/>
        <v>9.8879276453069203</v>
      </c>
      <c r="M61" s="72">
        <f t="shared" si="5"/>
        <v>2.3731026348736606</v>
      </c>
      <c r="N61" s="50"/>
      <c r="S61" s="14"/>
    </row>
    <row r="62" spans="2:19">
      <c r="B62" s="60">
        <v>3</v>
      </c>
      <c r="C62" s="60">
        <f t="shared" si="9"/>
        <v>28</v>
      </c>
      <c r="D62" s="68">
        <v>1</v>
      </c>
      <c r="E62" s="69">
        <f t="shared" si="6"/>
        <v>274.14999999999998</v>
      </c>
      <c r="F62" s="70">
        <f t="shared" si="1"/>
        <v>1.9846143044148706E-2</v>
      </c>
      <c r="G62" s="71">
        <f t="shared" si="2"/>
        <v>100</v>
      </c>
      <c r="H62" s="71">
        <f t="shared" si="3"/>
        <v>100</v>
      </c>
      <c r="I62" s="69" t="str">
        <v>N</v>
      </c>
      <c r="J62" s="71">
        <f t="shared" si="7"/>
        <v>0</v>
      </c>
      <c r="K62" s="71">
        <f t="shared" si="8"/>
        <v>588.3412558948271</v>
      </c>
      <c r="L62" s="71">
        <f t="shared" si="4"/>
        <v>11.676304723262836</v>
      </c>
      <c r="M62" s="72">
        <f t="shared" si="5"/>
        <v>2.8023131335830804</v>
      </c>
      <c r="N62" s="50"/>
      <c r="S62" s="14"/>
    </row>
    <row r="63" spans="2:19">
      <c r="B63" s="60">
        <v>3</v>
      </c>
      <c r="C63" s="60">
        <f t="shared" si="9"/>
        <v>29</v>
      </c>
      <c r="D63" s="68">
        <v>4.7</v>
      </c>
      <c r="E63" s="69">
        <f t="shared" si="6"/>
        <v>277.84999999999997</v>
      </c>
      <c r="F63" s="70">
        <f t="shared" si="1"/>
        <v>3.184765050365819E-2</v>
      </c>
      <c r="G63" s="71">
        <f t="shared" si="2"/>
        <v>100</v>
      </c>
      <c r="H63" s="71">
        <f t="shared" si="3"/>
        <v>100</v>
      </c>
      <c r="I63" s="69" t="str">
        <v>Y</v>
      </c>
      <c r="J63" s="71">
        <f t="shared" si="7"/>
        <v>547.83170361298596</v>
      </c>
      <c r="K63" s="71">
        <f t="shared" si="8"/>
        <v>128.83324755857825</v>
      </c>
      <c r="L63" s="71">
        <f t="shared" si="4"/>
        <v>4.1030362414968753</v>
      </c>
      <c r="M63" s="72">
        <f t="shared" si="5"/>
        <v>0.98472869795925</v>
      </c>
      <c r="N63" s="50"/>
      <c r="S63" s="14"/>
    </row>
    <row r="64" spans="2:19">
      <c r="B64" s="60">
        <v>3</v>
      </c>
      <c r="C64" s="60">
        <f t="shared" si="9"/>
        <v>30</v>
      </c>
      <c r="D64" s="68">
        <v>10.7</v>
      </c>
      <c r="E64" s="69">
        <f t="shared" si="6"/>
        <v>283.84999999999997</v>
      </c>
      <c r="F64" s="70">
        <f t="shared" si="1"/>
        <v>6.6800254017721952E-2</v>
      </c>
      <c r="G64" s="71">
        <f t="shared" si="2"/>
        <v>100</v>
      </c>
      <c r="H64" s="71">
        <f t="shared" si="3"/>
        <v>100</v>
      </c>
      <c r="I64" s="69" t="str">
        <v>N</v>
      </c>
      <c r="J64" s="71">
        <f t="shared" si="7"/>
        <v>0</v>
      </c>
      <c r="K64" s="71">
        <f t="shared" si="8"/>
        <v>224.73021131708137</v>
      </c>
      <c r="L64" s="71">
        <f t="shared" si="4"/>
        <v>15.012035201437367</v>
      </c>
      <c r="M64" s="72">
        <f t="shared" si="5"/>
        <v>3.6028884483449679</v>
      </c>
      <c r="N64" s="50"/>
      <c r="S64" s="14"/>
    </row>
    <row r="65" spans="2:19">
      <c r="B65" s="60">
        <v>3</v>
      </c>
      <c r="C65" s="60">
        <f t="shared" si="9"/>
        <v>31</v>
      </c>
      <c r="D65" s="68">
        <v>15.2</v>
      </c>
      <c r="E65" s="69">
        <f t="shared" si="6"/>
        <v>288.34999999999997</v>
      </c>
      <c r="F65" s="70">
        <f t="shared" si="1"/>
        <v>0.11409531814978603</v>
      </c>
      <c r="G65" s="71">
        <f t="shared" si="2"/>
        <v>100</v>
      </c>
      <c r="H65" s="71">
        <f t="shared" si="3"/>
        <v>100</v>
      </c>
      <c r="I65" s="69" t="str">
        <v>n</v>
      </c>
      <c r="J65" s="71">
        <f t="shared" si="7"/>
        <v>0</v>
      </c>
      <c r="K65" s="71">
        <f t="shared" si="8"/>
        <v>309.71817611564404</v>
      </c>
      <c r="L65" s="71">
        <f t="shared" si="4"/>
        <v>35.33739384068587</v>
      </c>
      <c r="M65" s="72">
        <f t="shared" si="5"/>
        <v>8.4809745217646082</v>
      </c>
      <c r="N65" s="50"/>
      <c r="S65" s="14"/>
    </row>
    <row r="66" spans="2:19">
      <c r="B66" s="60">
        <v>3</v>
      </c>
      <c r="C66" s="60">
        <f t="shared" si="9"/>
        <v>32</v>
      </c>
      <c r="D66" s="68">
        <v>17.7</v>
      </c>
      <c r="E66" s="69">
        <f t="shared" si="6"/>
        <v>290.84999999999997</v>
      </c>
      <c r="F66" s="70">
        <f t="shared" si="1"/>
        <v>0.1525176857384215</v>
      </c>
      <c r="G66" s="71">
        <f t="shared" si="2"/>
        <v>100</v>
      </c>
      <c r="H66" s="71">
        <f t="shared" si="3"/>
        <v>100</v>
      </c>
      <c r="I66" s="69" t="str">
        <v>N</v>
      </c>
      <c r="J66" s="71">
        <f t="shared" si="7"/>
        <v>0</v>
      </c>
      <c r="K66" s="71">
        <f t="shared" si="8"/>
        <v>374.38078227495816</v>
      </c>
      <c r="L66" s="71">
        <f t="shared" si="4"/>
        <v>57.099690497516477</v>
      </c>
      <c r="M66" s="72">
        <f t="shared" si="5"/>
        <v>13.703925719403953</v>
      </c>
      <c r="N66" s="50"/>
      <c r="S66" s="14"/>
    </row>
    <row r="67" spans="2:19">
      <c r="B67" s="60">
        <v>3</v>
      </c>
      <c r="C67" s="60">
        <f t="shared" si="9"/>
        <v>33</v>
      </c>
      <c r="D67" s="68">
        <v>16.7</v>
      </c>
      <c r="E67" s="69">
        <f t="shared" si="6"/>
        <v>289.84999999999997</v>
      </c>
      <c r="F67" s="70">
        <f t="shared" si="1"/>
        <v>0.13588145436301674</v>
      </c>
      <c r="G67" s="71">
        <f t="shared" si="2"/>
        <v>100</v>
      </c>
      <c r="H67" s="71">
        <f t="shared" si="3"/>
        <v>100</v>
      </c>
      <c r="I67" s="69" t="str">
        <v>N</v>
      </c>
      <c r="J67" s="71">
        <f t="shared" si="7"/>
        <v>0</v>
      </c>
      <c r="K67" s="71">
        <f t="shared" si="8"/>
        <v>417.2810917774417</v>
      </c>
      <c r="L67" s="71">
        <f t="shared" si="4"/>
        <v>56.700761628906243</v>
      </c>
      <c r="M67" s="72">
        <f t="shared" si="5"/>
        <v>13.608182790937498</v>
      </c>
      <c r="N67" s="50"/>
      <c r="S67" s="14"/>
    </row>
    <row r="68" spans="2:19">
      <c r="B68" s="60">
        <v>3</v>
      </c>
      <c r="C68" s="60">
        <f t="shared" si="9"/>
        <v>34</v>
      </c>
      <c r="D68" s="68">
        <v>12</v>
      </c>
      <c r="E68" s="69">
        <f t="shared" si="6"/>
        <v>285.14999999999998</v>
      </c>
      <c r="F68" s="70">
        <f t="shared" si="1"/>
        <v>7.8108002205014626E-2</v>
      </c>
      <c r="G68" s="71">
        <f t="shared" si="2"/>
        <v>100</v>
      </c>
      <c r="H68" s="71">
        <f t="shared" si="3"/>
        <v>100</v>
      </c>
      <c r="I68" s="69" t="str">
        <v>N</v>
      </c>
      <c r="J68" s="71">
        <f t="shared" si="7"/>
        <v>0</v>
      </c>
      <c r="K68" s="71">
        <f t="shared" si="8"/>
        <v>460.58033014853544</v>
      </c>
      <c r="L68" s="71">
        <f t="shared" si="4"/>
        <v>35.975009442828167</v>
      </c>
      <c r="M68" s="72">
        <f t="shared" si="5"/>
        <v>8.6340022662787597</v>
      </c>
      <c r="N68" s="50"/>
      <c r="S68" s="14"/>
    </row>
    <row r="69" spans="2:19">
      <c r="B69" s="60">
        <v>3</v>
      </c>
      <c r="C69" s="60">
        <f t="shared" si="9"/>
        <v>35</v>
      </c>
      <c r="D69" s="68">
        <v>5.8</v>
      </c>
      <c r="E69" s="69">
        <f t="shared" si="6"/>
        <v>278.95</v>
      </c>
      <c r="F69" s="70">
        <f t="shared" si="1"/>
        <v>3.6567213824340465E-2</v>
      </c>
      <c r="G69" s="71">
        <f t="shared" si="2"/>
        <v>100</v>
      </c>
      <c r="H69" s="71">
        <f t="shared" si="3"/>
        <v>100</v>
      </c>
      <c r="I69" s="69" t="str">
        <v>Y</v>
      </c>
      <c r="J69" s="71">
        <f t="shared" si="7"/>
        <v>403.37505467042189</v>
      </c>
      <c r="K69" s="71">
        <f t="shared" si="8"/>
        <v>121.23026603528541</v>
      </c>
      <c r="L69" s="71">
        <f t="shared" si="4"/>
        <v>4.4330530600939611</v>
      </c>
      <c r="M69" s="72">
        <f t="shared" si="5"/>
        <v>1.0639327344225507</v>
      </c>
      <c r="N69" s="50"/>
      <c r="S69" s="14"/>
    </row>
    <row r="70" spans="2:19">
      <c r="B70" s="60">
        <v>3</v>
      </c>
      <c r="C70" s="60">
        <f t="shared" si="9"/>
        <v>36</v>
      </c>
      <c r="D70" s="68">
        <v>1</v>
      </c>
      <c r="E70" s="73">
        <f t="shared" si="6"/>
        <v>274.14999999999998</v>
      </c>
      <c r="F70" s="70">
        <f t="shared" si="1"/>
        <v>1.9846143044148706E-2</v>
      </c>
      <c r="G70" s="74">
        <f t="shared" si="2"/>
        <v>100</v>
      </c>
      <c r="H70" s="71">
        <f t="shared" si="3"/>
        <v>100</v>
      </c>
      <c r="I70" s="73" t="str">
        <v>N</v>
      </c>
      <c r="J70" s="71">
        <f t="shared" si="7"/>
        <v>0</v>
      </c>
      <c r="K70" s="71">
        <f t="shared" si="8"/>
        <v>216.79721297519146</v>
      </c>
      <c r="L70" s="71">
        <f t="shared" si="4"/>
        <v>4.3025885002784214</v>
      </c>
      <c r="M70" s="72">
        <f t="shared" si="5"/>
        <v>1.0326212400668211</v>
      </c>
      <c r="N70" s="50"/>
      <c r="S70" s="14"/>
    </row>
    <row r="71" spans="2:19">
      <c r="C71" s="61"/>
      <c r="D71" s="24"/>
      <c r="E71" s="24"/>
      <c r="F71" s="75" t="s">
        <v>124</v>
      </c>
      <c r="G71" s="71"/>
      <c r="H71" s="71"/>
      <c r="I71" s="69"/>
      <c r="J71" s="71"/>
      <c r="K71" s="71"/>
      <c r="L71" s="71"/>
      <c r="M71" s="72"/>
      <c r="N71" s="50"/>
      <c r="S71" s="14"/>
    </row>
    <row r="72" spans="2:19">
      <c r="C72" s="61"/>
      <c r="D72" s="24"/>
      <c r="E72" s="24"/>
      <c r="F72" s="75" t="s">
        <v>125</v>
      </c>
      <c r="G72" s="71">
        <f>SUM(G35:G46)</f>
        <v>1200</v>
      </c>
      <c r="H72" s="71">
        <f>SUM(H35:H46)</f>
        <v>1200</v>
      </c>
      <c r="I72" s="69"/>
      <c r="J72" s="71">
        <f>SUM(J35:J46)</f>
        <v>759.85776501937517</v>
      </c>
      <c r="K72" s="71"/>
      <c r="L72" s="71">
        <f>SUM(L35:L46)</f>
        <v>227.8978001736408</v>
      </c>
      <c r="M72" s="72">
        <f>SUM(M35:M46)</f>
        <v>54.695472041673781</v>
      </c>
      <c r="N72" s="50"/>
      <c r="S72" s="14"/>
    </row>
    <row r="73" spans="2:19">
      <c r="C73" s="61"/>
      <c r="D73" s="24"/>
      <c r="E73" s="24"/>
      <c r="F73" s="75" t="s">
        <v>126</v>
      </c>
      <c r="G73" s="71">
        <f>SUM(G47:G58)</f>
        <v>1200</v>
      </c>
      <c r="H73" s="71">
        <f>SUM(H47:H58)</f>
        <v>1200</v>
      </c>
      <c r="I73" s="69"/>
      <c r="J73" s="71">
        <f>SUM(J47:J58)</f>
        <v>950.9817299672759</v>
      </c>
      <c r="K73" s="71"/>
      <c r="L73" s="71">
        <f>SUM(L47:L58)</f>
        <v>248.76837459032868</v>
      </c>
      <c r="M73" s="72">
        <f>SUM(M47:M58)</f>
        <v>59.704409901678886</v>
      </c>
      <c r="N73" s="50"/>
      <c r="S73" s="14"/>
    </row>
    <row r="74" spans="2:19" ht="15" thickBot="1">
      <c r="C74" s="62"/>
      <c r="D74" s="76"/>
      <c r="E74" s="76"/>
      <c r="F74" s="77" t="s">
        <v>127</v>
      </c>
      <c r="G74" s="78">
        <f>SUM(G59:G70)</f>
        <v>1200</v>
      </c>
      <c r="H74" s="78">
        <f>SUM(H59:H70)</f>
        <v>1200</v>
      </c>
      <c r="I74" s="79"/>
      <c r="J74" s="78">
        <f>SUM(J59:J70)</f>
        <v>951.20675828340791</v>
      </c>
      <c r="K74" s="78"/>
      <c r="L74" s="78">
        <f>SUM(L59:L70)</f>
        <v>248.79294749105824</v>
      </c>
      <c r="M74" s="80">
        <f>SUM(M59:M70)</f>
        <v>59.710307397853974</v>
      </c>
      <c r="N74" s="51"/>
      <c r="O74" s="18"/>
      <c r="P74" s="18"/>
      <c r="Q74" s="18"/>
      <c r="R74" s="18"/>
      <c r="S74" s="38"/>
    </row>
  </sheetData>
  <mergeCells count="8">
    <mergeCell ref="J26:J27"/>
    <mergeCell ref="L26:L27"/>
    <mergeCell ref="M26:M27"/>
    <mergeCell ref="B2:B3"/>
    <mergeCell ref="C2:C3"/>
    <mergeCell ref="D2:D3"/>
    <mergeCell ref="E2:E3"/>
    <mergeCell ref="F2:F3"/>
  </mergeCells>
  <dataValidations disablePrompts="1" count="6">
    <dataValidation type="decimal" showInputMessage="1" showErrorMessage="1" errorTitle="Invalid Input Data" error="Must be a number between 0 and 1" sqref="I17" xr:uid="{00000000-0002-0000-0000-000000000000}">
      <formula1>0.01</formula1>
      <formula2>0.99</formula2>
    </dataValidation>
    <dataValidation type="decimal" allowBlank="1" showInputMessage="1" showErrorMessage="1" errorTitle="Invalid Data Entry" error="Must be between 0 and 100%" sqref="I8" xr:uid="{00000000-0002-0000-0000-000001000000}">
      <formula1>0</formula1>
      <formula2>1</formula2>
    </dataValidation>
    <dataValidation type="decimal" allowBlank="1" showInputMessage="1" showErrorMessage="1" errorTitle="Invalid Data Entry" error="Valid Range: 50% to 100% (0.5 to 1.0)" sqref="I20" xr:uid="{00000000-0002-0000-0000-000002000000}">
      <formula1>0.5</formula1>
      <formula2>1</formula2>
    </dataValidation>
    <dataValidation type="decimal" allowBlank="1" showInputMessage="1" showErrorMessage="1" errorTitle="Invalid Data Entry" error="Valid Temperature Range: -50 to +60 degrees C" sqref="D9:D20" xr:uid="{00000000-0002-0000-0000-000003000000}">
      <formula1>-50</formula1>
      <formula2>60</formula2>
    </dataValidation>
    <dataValidation type="list" showInputMessage="1" showErrorMessage="1" sqref="D6" xr:uid="{00000000-0002-0000-0000-000004000000}">
      <formula1>$Q$8:$Q$9</formula1>
    </dataValidation>
    <dataValidation type="list" errorStyle="warning" showDropDown="1" showInputMessage="1" showErrorMessage="1" errorTitle="Invalid Data Entry" error="Valid Options: Y, N" sqref="F9:F20" xr:uid="{00000000-0002-0000-0000-000005000000}">
      <formula1>$Q$12:$Q$13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6FC8FEB8568A4E8A46DD6F55BF44C0" ma:contentTypeVersion="7" ma:contentTypeDescription="Create a new document." ma:contentTypeScope="" ma:versionID="c05241bc09645062740714cdfb26a102">
  <xsd:schema xmlns:xsd="http://www.w3.org/2001/XMLSchema" xmlns:xs="http://www.w3.org/2001/XMLSchema" xmlns:p="http://schemas.microsoft.com/office/2006/metadata/properties" xmlns:ns2="20b51df3-9bd5-4eb3-955b-252f8063384c" xmlns:ns3="4faa9c72-9366-46b0-9f83-a55781906e46" targetNamespace="http://schemas.microsoft.com/office/2006/metadata/properties" ma:root="true" ma:fieldsID="0db4ef2ea2db618e3b3b3e1d007b4e25" ns2:_="" ns3:_="">
    <xsd:import namespace="20b51df3-9bd5-4eb3-955b-252f8063384c"/>
    <xsd:import namespace="4faa9c72-9366-46b0-9f83-a55781906e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b51df3-9bd5-4eb3-955b-252f806338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aa9c72-9366-46b0-9f83-a55781906e4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F5EB8FD-26D2-4876-B1D6-5A7764FE00E3}"/>
</file>

<file path=customXml/itemProps2.xml><?xml version="1.0" encoding="utf-8"?>
<ds:datastoreItem xmlns:ds="http://schemas.openxmlformats.org/officeDocument/2006/customXml" ds:itemID="{5A00D532-F23D-4F74-A917-23963D30A90C}"/>
</file>

<file path=customXml/itemProps3.xml><?xml version="1.0" encoding="utf-8"?>
<ds:datastoreItem xmlns:ds="http://schemas.openxmlformats.org/officeDocument/2006/customXml" ds:itemID="{7EDD6CE7-5CE3-459A-BCA8-1EF6568068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AAFC-AAC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VanderZaag, Andrew</dc:creator>
  <cp:keywords/>
  <dc:description/>
  <cp:lastModifiedBy>Walter Oyhantcabal</cp:lastModifiedBy>
  <cp:revision/>
  <dcterms:created xsi:type="dcterms:W3CDTF">2018-05-11T15:33:32Z</dcterms:created>
  <dcterms:modified xsi:type="dcterms:W3CDTF">2018-10-04T21:49:24Z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0x0101002A6FC8FEB8568A4E8A46DD6F55BF44C0</vt:lpwstr>
  </property>
</Properties>
</file>